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660" windowHeight="15390" activeTab="0"/>
  </bookViews>
  <sheets>
    <sheet name="rev_curb" sheetId="1" r:id="rId1"/>
    <sheet name="calc" sheetId="2" r:id="rId2"/>
  </sheets>
  <definedNames>
    <definedName name="A">'calc'!$F$2</definedName>
    <definedName name="axm">'rev_curb'!$F$1</definedName>
    <definedName name="axp">'rev_curb'!$D$1</definedName>
    <definedName name="aym">'rev_curb'!$F$2</definedName>
    <definedName name="ayp">'rev_curb'!$D$2</definedName>
    <definedName name="azm">'rev_curb'!$F$3</definedName>
    <definedName name="azp">'rev_curb'!$D$3</definedName>
    <definedName name="bxm">'calc'!$J$1</definedName>
    <definedName name="bxp">'calc'!$H$1</definedName>
    <definedName name="bym">'calc'!$J$2</definedName>
    <definedName name="byp">'calc'!$H$2</definedName>
    <definedName name="bzm">'calc'!$J$3</definedName>
    <definedName name="bzp">'calc'!$H$3</definedName>
    <definedName name="cs">'rev_curb'!$L$2</definedName>
    <definedName name="freq">'rev_curb'!$L$1</definedName>
    <definedName name="L">'calc'!$D$7</definedName>
    <definedName name="lob">'calc'!$D$3</definedName>
    <definedName name="Lx">'rev_curb'!$B$1</definedName>
    <definedName name="lxy">'calc'!$D$4</definedName>
    <definedName name="lxz">'calc'!$D$6</definedName>
    <definedName name="Ly">'rev_curb'!$B$2</definedName>
    <definedName name="lyz">'calc'!$D$5</definedName>
    <definedName name="Lz">'rev_curb'!$B$3</definedName>
    <definedName name="omega">'calc'!$B$1</definedName>
    <definedName name="S">'calc'!$D$1</definedName>
    <definedName name="sxm">'rev_curb'!$J$1</definedName>
    <definedName name="sxp">'rev_curb'!$H$1</definedName>
    <definedName name="sym">'rev_curb'!$J$2</definedName>
    <definedName name="syp">'rev_curb'!$H$2</definedName>
    <definedName name="szm">'rev_curb'!$J$3</definedName>
    <definedName name="szp">'rev_curb'!$H$3</definedName>
    <definedName name="V">'calc'!$D$2</definedName>
    <definedName name="W">'rev_curb'!$L$3</definedName>
  </definedNames>
  <calcPr fullCalcOnLoad="1"/>
</workbook>
</file>

<file path=xl/sharedStrings.xml><?xml version="1.0" encoding="utf-8"?>
<sst xmlns="http://schemas.openxmlformats.org/spreadsheetml/2006/main" count="159" uniqueCount="138">
  <si>
    <t>Lx</t>
  </si>
  <si>
    <t>Ly</t>
  </si>
  <si>
    <t>Lz</t>
  </si>
  <si>
    <t>sabine</t>
  </si>
  <si>
    <t>A</t>
  </si>
  <si>
    <t>time[sec]</t>
  </si>
  <si>
    <t>specular</t>
  </si>
  <si>
    <t>ob</t>
  </si>
  <si>
    <t>txy</t>
  </si>
  <si>
    <t>tyz</t>
  </si>
  <si>
    <t>tzx</t>
  </si>
  <si>
    <t>ax</t>
  </si>
  <si>
    <t>ay</t>
  </si>
  <si>
    <t>az</t>
  </si>
  <si>
    <t>ω</t>
  </si>
  <si>
    <t>freq</t>
  </si>
  <si>
    <t>c</t>
  </si>
  <si>
    <t>S</t>
  </si>
  <si>
    <t>V</t>
  </si>
  <si>
    <t>γob</t>
  </si>
  <si>
    <t>L</t>
  </si>
  <si>
    <t>γtxy</t>
  </si>
  <si>
    <t>γtyz</t>
  </si>
  <si>
    <t>γtxz</t>
  </si>
  <si>
    <t>W</t>
  </si>
  <si>
    <t>total</t>
  </si>
  <si>
    <t>αx^+</t>
  </si>
  <si>
    <t>αy^+</t>
  </si>
  <si>
    <t>αz^+</t>
  </si>
  <si>
    <t>αx^-</t>
  </si>
  <si>
    <t>αy^-</t>
  </si>
  <si>
    <t>αz^-</t>
  </si>
  <si>
    <t>εtx</t>
  </si>
  <si>
    <t>εty</t>
  </si>
  <si>
    <t>εtz</t>
  </si>
  <si>
    <t>lxy</t>
  </si>
  <si>
    <t>lxz</t>
  </si>
  <si>
    <t>lyz</t>
  </si>
  <si>
    <t>total[dB]</t>
  </si>
  <si>
    <t>εaxy</t>
  </si>
  <si>
    <t>εayz</t>
  </si>
  <si>
    <t>εaxz</t>
  </si>
  <si>
    <t>βx^-</t>
  </si>
  <si>
    <t>βx^+</t>
  </si>
  <si>
    <t>βy^+</t>
  </si>
  <si>
    <t>βy^-</t>
  </si>
  <si>
    <t>βz^+</t>
  </si>
  <si>
    <t>βz^-</t>
  </si>
  <si>
    <t>βEob</t>
  </si>
  <si>
    <t>βob</t>
  </si>
  <si>
    <t>βx^r</t>
  </si>
  <si>
    <t>βy^r</t>
  </si>
  <si>
    <t>βz^r</t>
  </si>
  <si>
    <t>βEtxy</t>
  </si>
  <si>
    <t>βEtyz</t>
  </si>
  <si>
    <t>βEtxz</t>
  </si>
  <si>
    <t>βx^g</t>
  </si>
  <si>
    <t>βy^g</t>
  </si>
  <si>
    <t>βz^g</t>
  </si>
  <si>
    <t>βEax</t>
  </si>
  <si>
    <t>βEay</t>
  </si>
  <si>
    <t>βEaz</t>
  </si>
  <si>
    <t>βax</t>
  </si>
  <si>
    <t>βay</t>
  </si>
  <si>
    <t>βaz</t>
  </si>
  <si>
    <t>βx^n</t>
  </si>
  <si>
    <t>βy^n</t>
  </si>
  <si>
    <t>βz^n</t>
  </si>
  <si>
    <t>Bob</t>
  </si>
  <si>
    <t>^Btxy</t>
  </si>
  <si>
    <t>^Btyz</t>
  </si>
  <si>
    <t>^Btxz</t>
  </si>
  <si>
    <t>Btxy</t>
  </si>
  <si>
    <t>Btyz</t>
  </si>
  <si>
    <t>Btxz</t>
  </si>
  <si>
    <t>sx^+</t>
  </si>
  <si>
    <t>sy^-</t>
  </si>
  <si>
    <t>sz^+</t>
  </si>
  <si>
    <t>sy^+</t>
  </si>
  <si>
    <t>sx^-</t>
  </si>
  <si>
    <t>sz^-</t>
  </si>
  <si>
    <t>lob</t>
  </si>
  <si>
    <t>diffuse</t>
  </si>
  <si>
    <t>αr</t>
  </si>
  <si>
    <t>αEr</t>
  </si>
  <si>
    <t>sEob</t>
  </si>
  <si>
    <t>sob</t>
  </si>
  <si>
    <t>sx^r</t>
  </si>
  <si>
    <t>sy^r</t>
  </si>
  <si>
    <t>sz^r</t>
  </si>
  <si>
    <t>rx^r</t>
  </si>
  <si>
    <t>ry^r</t>
  </si>
  <si>
    <t>rz^r</t>
  </si>
  <si>
    <t>μob</t>
  </si>
  <si>
    <t>Ar</t>
  </si>
  <si>
    <t>μtxy</t>
  </si>
  <si>
    <t>sEtxy</t>
  </si>
  <si>
    <t>sx^g</t>
  </si>
  <si>
    <t>sy^g</t>
  </si>
  <si>
    <t>sz^g</t>
  </si>
  <si>
    <t>βxy^r</t>
  </si>
  <si>
    <t>βyz^r</t>
  </si>
  <si>
    <t>βxz^r</t>
  </si>
  <si>
    <t>sEtyz</t>
  </si>
  <si>
    <t>sEtxz</t>
  </si>
  <si>
    <t>μtyz</t>
  </si>
  <si>
    <t>μtxz</t>
  </si>
  <si>
    <t>μax</t>
  </si>
  <si>
    <t>μay</t>
  </si>
  <si>
    <t>μaz</t>
  </si>
  <si>
    <t>^Bax</t>
  </si>
  <si>
    <t>^Bay</t>
  </si>
  <si>
    <t>^Baz</t>
  </si>
  <si>
    <t>Bax</t>
  </si>
  <si>
    <t>Bay</t>
  </si>
  <si>
    <t>Baz</t>
  </si>
  <si>
    <t>sEax</t>
  </si>
  <si>
    <t>sEay</t>
  </si>
  <si>
    <t>sEaz</t>
  </si>
  <si>
    <t>sax</t>
  </si>
  <si>
    <t>say</t>
  </si>
  <si>
    <t>saz</t>
  </si>
  <si>
    <t>sx^n</t>
  </si>
  <si>
    <t>sy^n</t>
  </si>
  <si>
    <t>sz^n</t>
  </si>
  <si>
    <t>gtotal</t>
  </si>
  <si>
    <t>γax</t>
  </si>
  <si>
    <t>γay</t>
  </si>
  <si>
    <t>γaz</t>
  </si>
  <si>
    <t>sxy^r</t>
  </si>
  <si>
    <t>syz^r</t>
  </si>
  <si>
    <t>sxz^r</t>
  </si>
  <si>
    <t>βtxy</t>
  </si>
  <si>
    <t>βtyz</t>
  </si>
  <si>
    <t>βtxz</t>
  </si>
  <si>
    <t>ratio</t>
  </si>
  <si>
    <t>1D spec</t>
  </si>
  <si>
    <t>spe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</si>
</sst>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E+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rev_curb!$J$7:$J$27</c:f>
              <c:numCache/>
            </c:numRef>
          </c:yVal>
          <c:smooth val="1"/>
        </c:ser>
        <c:ser>
          <c:idx val="1"/>
          <c:order val="1"/>
          <c:tx>
            <c:v>diffuse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rev_curb!$S$7:$S$27</c:f>
              <c:numCache/>
            </c:numRef>
          </c:yVal>
          <c:smooth val="1"/>
        </c:ser>
        <c:ser>
          <c:idx val="2"/>
          <c:order val="2"/>
          <c:tx>
            <c:v>gtotal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rev_curb!$U$7:$U$27</c:f>
              <c:numCache/>
            </c:numRef>
          </c:yVal>
          <c:smooth val="1"/>
        </c:ser>
        <c:axId val="51159685"/>
        <c:axId val="57783982"/>
      </c:scatterChart>
      <c:valAx>
        <c:axId val="51159685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in"/>
        <c:tickLblPos val="nextTo"/>
        <c:crossAx val="57783982"/>
        <c:crossesAt val="-80"/>
        <c:crossBetween val="midCat"/>
        <c:dispUnits/>
        <c:majorUnit val="0.5"/>
      </c:valAx>
      <c:valAx>
        <c:axId val="57783982"/>
        <c:scaling>
          <c:orientation val="minMax"/>
          <c:min val="-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59685"/>
        <c:crossesAt val="-8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rev_curb!$Y$6</c:f>
              <c:strCache>
                <c:ptCount val="1"/>
                <c:pt idx="0">
                  <c:v>diffuse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rev_curb!$Y$7:$Y$27</c:f>
              <c:numCache/>
            </c:numRef>
          </c:yVal>
          <c:smooth val="1"/>
        </c:ser>
        <c:ser>
          <c:idx val="1"/>
          <c:order val="1"/>
          <c:tx>
            <c:strRef>
              <c:f>rev_curb!$Z$6</c:f>
              <c:strCache>
                <c:ptCount val="1"/>
                <c:pt idx="0">
                  <c:v>spe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rev_curb!$Z$7:$Z$27</c:f>
              <c:numCache/>
            </c:numRef>
          </c:yVal>
          <c:smooth val="1"/>
        </c:ser>
        <c:ser>
          <c:idx val="2"/>
          <c:order val="2"/>
          <c:tx>
            <c:strRef>
              <c:f>rev_curb!$AA$6</c:f>
              <c:strCache>
                <c:ptCount val="1"/>
                <c:pt idx="0">
                  <c:v>1D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rev_curb!$AA$7:$AA$27</c:f>
              <c:numCache/>
            </c:numRef>
          </c:yVal>
          <c:smooth val="1"/>
        </c:ser>
        <c:axId val="50293791"/>
        <c:axId val="49990936"/>
      </c:scatterChart>
      <c:valAx>
        <c:axId val="50293791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in"/>
        <c:tickLblPos val="nextTo"/>
        <c:crossAx val="49990936"/>
        <c:crossesAt val="-40"/>
        <c:crossBetween val="midCat"/>
        <c:dispUnits/>
        <c:majorUnit val="0.5"/>
        <c:minorUnit val="0.1"/>
      </c:valAx>
      <c:valAx>
        <c:axId val="49990936"/>
        <c:scaling>
          <c:orientation val="minMax"/>
          <c:max val="0"/>
          <c:min val="-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29379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rev_curb!$B$6</c:f>
              <c:strCache>
                <c:ptCount val="1"/>
                <c:pt idx="0">
                  <c:v>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rev_curb!$B$7:$B$27</c:f>
              <c:numCache/>
            </c:numRef>
          </c:yVal>
          <c:smooth val="1"/>
        </c:ser>
        <c:ser>
          <c:idx val="1"/>
          <c:order val="1"/>
          <c:tx>
            <c:strRef>
              <c:f>rev_curb!$C$6</c:f>
              <c:strCache>
                <c:ptCount val="1"/>
                <c:pt idx="0">
                  <c:v>txy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rev_curb!$C$7:$C$27</c:f>
              <c:numCache/>
            </c:numRef>
          </c:yVal>
          <c:smooth val="1"/>
        </c:ser>
        <c:ser>
          <c:idx val="2"/>
          <c:order val="2"/>
          <c:tx>
            <c:strRef>
              <c:f>rev_curb!$D$6</c:f>
              <c:strCache>
                <c:ptCount val="1"/>
                <c:pt idx="0">
                  <c:v>tyz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rev_curb!$D$7:$D$27</c:f>
              <c:numCache/>
            </c:numRef>
          </c:yVal>
          <c:smooth val="1"/>
        </c:ser>
        <c:ser>
          <c:idx val="3"/>
          <c:order val="3"/>
          <c:tx>
            <c:strRef>
              <c:f>rev_curb!$E$6</c:f>
              <c:strCache>
                <c:ptCount val="1"/>
                <c:pt idx="0">
                  <c:v>tzx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rev_curb!$E$7:$E$27</c:f>
              <c:numCache/>
            </c:numRef>
          </c:yVal>
          <c:smooth val="1"/>
        </c:ser>
        <c:ser>
          <c:idx val="4"/>
          <c:order val="4"/>
          <c:tx>
            <c:strRef>
              <c:f>rev_curb!$F$6</c:f>
              <c:strCache>
                <c:ptCount val="1"/>
                <c:pt idx="0">
                  <c:v>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rev_curb!$F$7:$F$27</c:f>
              <c:numCache/>
            </c:numRef>
          </c:yVal>
          <c:smooth val="1"/>
        </c:ser>
        <c:ser>
          <c:idx val="5"/>
          <c:order val="5"/>
          <c:tx>
            <c:strRef>
              <c:f>rev_curb!$G$6</c:f>
              <c:strCache>
                <c:ptCount val="1"/>
                <c:pt idx="0">
                  <c:v>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rev_curb!$G$7:$G$27</c:f>
              <c:numCache/>
            </c:numRef>
          </c:yVal>
          <c:smooth val="1"/>
        </c:ser>
        <c:ser>
          <c:idx val="6"/>
          <c:order val="6"/>
          <c:tx>
            <c:strRef>
              <c:f>rev_curb!$H$6</c:f>
              <c:strCache>
                <c:ptCount val="1"/>
                <c:pt idx="0">
                  <c:v>az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rev_curb!$A$7:$A$27</c:f>
              <c:numCache/>
            </c:numRef>
          </c:xVal>
          <c:yVal>
            <c:numRef>
              <c:f>rev_curb!$H$7:$H$27</c:f>
              <c:numCache/>
            </c:numRef>
          </c:yVal>
          <c:smooth val="1"/>
        </c:ser>
        <c:axId val="47265241"/>
        <c:axId val="22733986"/>
      </c:scatterChart>
      <c:valAx>
        <c:axId val="47265241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22733986"/>
        <c:crossesAt val="1E-24"/>
        <c:crossBetween val="midCat"/>
        <c:dispUnits/>
        <c:majorUnit val="0.5"/>
      </c:valAx>
      <c:valAx>
        <c:axId val="22733986"/>
        <c:scaling>
          <c:logBase val="10"/>
          <c:orientation val="minMax"/>
        </c:scaling>
        <c:axPos val="l"/>
        <c:majorGridlines/>
        <c:delete val="0"/>
        <c:numFmt formatCode="0.E+00" sourceLinked="0"/>
        <c:majorTickMark val="in"/>
        <c:minorTickMark val="none"/>
        <c:tickLblPos val="nextTo"/>
        <c:crossAx val="4726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85725</xdr:rowOff>
    </xdr:from>
    <xdr:to>
      <xdr:col>10</xdr:col>
      <xdr:colOff>161925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409575" y="1457325"/>
        <a:ext cx="4800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8</xdr:row>
      <xdr:rowOff>76200</xdr:rowOff>
    </xdr:from>
    <xdr:to>
      <xdr:col>20</xdr:col>
      <xdr:colOff>152400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5229225" y="1447800"/>
        <a:ext cx="50196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27</xdr:row>
      <xdr:rowOff>38100</xdr:rowOff>
    </xdr:from>
    <xdr:to>
      <xdr:col>10</xdr:col>
      <xdr:colOff>285750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314325" y="4667250"/>
        <a:ext cx="5019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H2" sqref="H2"/>
    </sheetView>
  </sheetViews>
  <sheetFormatPr defaultColWidth="9.00390625" defaultRowHeight="13.5"/>
  <cols>
    <col min="1" max="27" width="6.625" style="0" customWidth="1"/>
  </cols>
  <sheetData>
    <row r="1" spans="1:12" ht="13.5">
      <c r="A1" t="s">
        <v>0</v>
      </c>
      <c r="B1">
        <v>10</v>
      </c>
      <c r="C1" t="s">
        <v>26</v>
      </c>
      <c r="D1">
        <v>0.35</v>
      </c>
      <c r="E1" t="s">
        <v>29</v>
      </c>
      <c r="F1">
        <f>axp</f>
        <v>0.35</v>
      </c>
      <c r="G1" t="s">
        <v>75</v>
      </c>
      <c r="H1">
        <v>0.4</v>
      </c>
      <c r="I1" t="s">
        <v>79</v>
      </c>
      <c r="J1">
        <f>sxp</f>
        <v>0.4</v>
      </c>
      <c r="K1" t="s">
        <v>15</v>
      </c>
      <c r="L1">
        <v>500</v>
      </c>
    </row>
    <row r="2" spans="1:12" ht="13.5">
      <c r="A2" t="s">
        <v>1</v>
      </c>
      <c r="B2">
        <v>10</v>
      </c>
      <c r="C2" t="s">
        <v>27</v>
      </c>
      <c r="D2">
        <v>0.35</v>
      </c>
      <c r="E2" t="s">
        <v>30</v>
      </c>
      <c r="F2">
        <f>ayp</f>
        <v>0.35</v>
      </c>
      <c r="G2" t="s">
        <v>78</v>
      </c>
      <c r="H2">
        <f>sxp</f>
        <v>0.4</v>
      </c>
      <c r="I2" t="s">
        <v>76</v>
      </c>
      <c r="J2">
        <f>syp</f>
        <v>0.4</v>
      </c>
      <c r="K2" t="s">
        <v>16</v>
      </c>
      <c r="L2">
        <v>340</v>
      </c>
    </row>
    <row r="3" spans="1:12" ht="13.5">
      <c r="A3" t="s">
        <v>2</v>
      </c>
      <c r="B3">
        <v>10</v>
      </c>
      <c r="C3" t="s">
        <v>28</v>
      </c>
      <c r="D3">
        <v>0.35</v>
      </c>
      <c r="E3" t="s">
        <v>31</v>
      </c>
      <c r="F3">
        <f>azp</f>
        <v>0.35</v>
      </c>
      <c r="G3" t="s">
        <v>77</v>
      </c>
      <c r="H3">
        <f>sxp</f>
        <v>0.4</v>
      </c>
      <c r="I3" t="s">
        <v>80</v>
      </c>
      <c r="J3">
        <f>szp</f>
        <v>0.4</v>
      </c>
      <c r="K3" t="s">
        <v>24</v>
      </c>
      <c r="L3">
        <v>300</v>
      </c>
    </row>
    <row r="5" spans="2:27" ht="13.5">
      <c r="B5" s="2" t="s">
        <v>6</v>
      </c>
      <c r="C5" s="2"/>
      <c r="D5" s="2"/>
      <c r="E5" s="2"/>
      <c r="F5" s="2"/>
      <c r="G5" s="2"/>
      <c r="H5" s="2"/>
      <c r="I5" s="2"/>
      <c r="J5" s="2"/>
      <c r="K5" s="2" t="s">
        <v>82</v>
      </c>
      <c r="L5" s="2"/>
      <c r="M5" s="2"/>
      <c r="N5" s="2"/>
      <c r="O5" s="2"/>
      <c r="P5" s="2"/>
      <c r="Q5" s="2"/>
      <c r="R5" s="2"/>
      <c r="S5" s="2"/>
      <c r="T5" s="2" t="s">
        <v>125</v>
      </c>
      <c r="U5" s="2"/>
      <c r="V5" s="2" t="s">
        <v>135</v>
      </c>
      <c r="W5" s="2"/>
      <c r="X5" s="2"/>
      <c r="Y5" s="2" t="s">
        <v>135</v>
      </c>
      <c r="Z5" s="2"/>
      <c r="AA5" s="2"/>
    </row>
    <row r="6" spans="1:27" ht="13.5">
      <c r="A6" t="s">
        <v>5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25</v>
      </c>
      <c r="J6" t="s">
        <v>38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P6" t="s">
        <v>12</v>
      </c>
      <c r="Q6" t="s">
        <v>13</v>
      </c>
      <c r="R6" t="s">
        <v>25</v>
      </c>
      <c r="S6" t="s">
        <v>38</v>
      </c>
      <c r="T6" t="s">
        <v>25</v>
      </c>
      <c r="U6" t="s">
        <v>38</v>
      </c>
      <c r="V6" t="s">
        <v>82</v>
      </c>
      <c r="W6" t="s">
        <v>137</v>
      </c>
      <c r="X6" t="s">
        <v>136</v>
      </c>
      <c r="Y6" t="s">
        <v>82</v>
      </c>
      <c r="Z6" t="s">
        <v>137</v>
      </c>
      <c r="AA6" t="s">
        <v>136</v>
      </c>
    </row>
    <row r="7" spans="1:27" ht="13.5">
      <c r="A7">
        <v>0</v>
      </c>
      <c r="B7">
        <f>calc!$C$10/calc!$C$17*EXP(-(calc!$C$18/calc!$D$3*cs*rev_curb!A7))</f>
        <v>0.001680726666386918</v>
      </c>
      <c r="C7">
        <f>2*calc!$C$11/calc!$C$23*EXP(-calc!$C$29/calc!$D$4*rev_curb!$L$2*rev_curb!$A7)</f>
        <v>6.89041199587024E-05</v>
      </c>
      <c r="D7">
        <f>2*calc!$C$12/calc!$C$24*EXP(-calc!$C$30/calc!$D$5*rev_curb!$L$2*rev_curb!$A7)</f>
        <v>6.89041199587024E-05</v>
      </c>
      <c r="E7">
        <f>2*calc!$C$13/calc!$C$25*EXP(-calc!$C$31/calc!$D$6*rev_curb!$L$2*rev_curb!$A7)</f>
        <v>6.89041199587024E-05</v>
      </c>
      <c r="F7">
        <f>4*calc!$C$14/calc!$C$44*EXP(-calc!$C$50/rev_curb!$B$1*rev_curb!$L$2*rev_curb!$A7)</f>
        <v>1.9212621374519818E-06</v>
      </c>
      <c r="G7">
        <f>4*calc!$C$15/calc!$C$45*EXP(-calc!$C$51/rev_curb!$B$2*rev_curb!$L$2*rev_curb!$A7)</f>
        <v>1.9212621374519818E-06</v>
      </c>
      <c r="H7">
        <f>4*calc!$C$16/calc!$C$46*EXP(-calc!$C$52/rev_curb!$B$3*rev_curb!$L$2*rev_curb!$A7)</f>
        <v>1.9212621374519818E-06</v>
      </c>
      <c r="I7">
        <f>4*W/cs*SUM(B7:H7)</f>
        <v>0.006681892280030756</v>
      </c>
      <c r="J7">
        <f>10*LOG10(I7)</f>
        <v>-21.751005299797377</v>
      </c>
      <c r="K7">
        <f>calc!$F$21*(calc!$C$10/calc!$F$10*EXP(-calc!$F$11/lob*cs*rev_curb!$A7)-$B7)</f>
        <v>0.0019930183293363673</v>
      </c>
      <c r="L7">
        <f>calc!$F$22*(calc!$C$11/calc!$F$10*EXP(-calc!$F$11/lob*cs*rev_curb!$A7)-1/2*rev_curb!C7)</f>
        <v>3.490904124185229E-05</v>
      </c>
      <c r="M7">
        <f>calc!$F$23*(calc!$C$12/calc!$F$10*EXP(-calc!$F$11/lob*cs*rev_curb!$A7)-1/2*rev_curb!D7)</f>
        <v>3.490904124185229E-05</v>
      </c>
      <c r="N7">
        <f>calc!$F$24*(calc!$C$13/calc!$F$10*EXP(-calc!$F$11/lob*cs*rev_curb!$A7)-1/2*rev_curb!E7)</f>
        <v>3.490904124185229E-05</v>
      </c>
      <c r="O7">
        <f>calc!$F$37*(calc!$C$14/calc!$F$10*EXP(-calc!$F$11/lob*cs*rev_curb!$A7)-rev_curb!F7/4)</f>
        <v>3.8616288363285007E-07</v>
      </c>
      <c r="P7">
        <f>calc!$F$38*(calc!$C$15/calc!$F$10*EXP(-calc!$F$11/lob*cs*rev_curb!$A7)-rev_curb!G7/4)</f>
        <v>3.8616288363285007E-07</v>
      </c>
      <c r="Q7">
        <f>calc!$F$39*(calc!$C$16/calc!$F$10*EXP(-calc!$F$11/lob*cs*rev_curb!$A7)-rev_curb!H7/4)</f>
        <v>3.8616288363285007E-07</v>
      </c>
      <c r="R7">
        <f>4*W/cs*SUM(K7:Q7)</f>
        <v>0.007407896264868789</v>
      </c>
      <c r="S7">
        <f>10*LOG10(R7)</f>
        <v>-21.30305107847518</v>
      </c>
      <c r="T7">
        <f>I7+R7</f>
        <v>0.014089788544899545</v>
      </c>
      <c r="U7">
        <f>10*LOG10(T7)</f>
        <v>-18.510955245962787</v>
      </c>
      <c r="V7">
        <f>R7/T7</f>
        <v>0.5257634804995297</v>
      </c>
      <c r="W7">
        <f>I7/T7</f>
        <v>0.4742365195004703</v>
      </c>
      <c r="X7">
        <f>SUM(C7:H7)/T7</f>
        <v>0.015080151530405955</v>
      </c>
      <c r="Y7">
        <f>10*LOG10(V7)</f>
        <v>-2.792095832512389</v>
      </c>
      <c r="Z7">
        <f>10*LOG10(W7)</f>
        <v>-3.2400500538345893</v>
      </c>
      <c r="AA7">
        <f>10*LOG10(X7)</f>
        <v>-18.215942945081206</v>
      </c>
    </row>
    <row r="8" spans="1:27" ht="13.5">
      <c r="A8">
        <v>0.05</v>
      </c>
      <c r="B8">
        <f>calc!$C$10/calc!$C$17*EXP(-(calc!$C$18/calc!$D$3*cs*rev_curb!A8))</f>
        <v>0.00015230418554401822</v>
      </c>
      <c r="C8">
        <f>2*calc!$C$11/calc!$C$23*EXP(-calc!$C$29/calc!$D$4*rev_curb!$L$2*rev_curb!$A8)</f>
        <v>8.85507942235598E-06</v>
      </c>
      <c r="D8">
        <f>2*calc!$C$12/calc!$C$24*EXP(-calc!$C$30/calc!$D$5*rev_curb!$L$2*rev_curb!$A8)</f>
        <v>8.85507942235598E-06</v>
      </c>
      <c r="E8">
        <f>2*calc!$C$13/calc!$C$25*EXP(-calc!$C$31/calc!$D$6*rev_curb!$L$2*rev_curb!$A8)</f>
        <v>8.85507942235598E-06</v>
      </c>
      <c r="F8">
        <f>4*calc!$C$14/calc!$C$44*EXP(-calc!$C$50/rev_curb!$B$1*rev_curb!$L$2*rev_curb!$A8)</f>
        <v>3.7720567953897746E-07</v>
      </c>
      <c r="G8">
        <f>4*calc!$C$15/calc!$C$45*EXP(-calc!$C$51/rev_curb!$B$2*rev_curb!$L$2*rev_curb!$A8)</f>
        <v>3.7720567953897746E-07</v>
      </c>
      <c r="H8">
        <f>4*calc!$C$16/calc!$C$46*EXP(-calc!$C$52/rev_curb!$B$3*rev_curb!$L$2*rev_curb!$A8)</f>
        <v>3.7720567953897746E-07</v>
      </c>
      <c r="I8">
        <f>4*W/cs*SUM(B8:H8)</f>
        <v>0.000635297791234246</v>
      </c>
      <c r="J8">
        <f aca="true" t="shared" si="0" ref="J8:J27">10*LOG10(I8)</f>
        <v>-31.9702265459146</v>
      </c>
      <c r="K8">
        <f>calc!$F$21*(calc!$C$10/calc!$F$10*EXP(-calc!$F$11/lob*cs*rev_curb!$A8)-$B8)</f>
        <v>0.0010724193589249065</v>
      </c>
      <c r="L8">
        <f>calc!$F$22*(calc!$C$11/calc!$F$10*EXP(-calc!$F$11/lob*cs*rev_curb!$A8)-1/2*rev_curb!C8)</f>
        <v>1.9878971396055772E-05</v>
      </c>
      <c r="M8">
        <f>calc!$F$23*(calc!$C$12/calc!$F$10*EXP(-calc!$F$11/lob*cs*rev_curb!$A8)-1/2*rev_curb!D8)</f>
        <v>1.9878971396055772E-05</v>
      </c>
      <c r="N8">
        <f>calc!$F$24*(calc!$C$13/calc!$F$10*EXP(-calc!$F$11/lob*cs*rev_curb!$A8)-1/2*rev_curb!E8)</f>
        <v>1.9878971396055772E-05</v>
      </c>
      <c r="O8">
        <f>calc!$F$37*(calc!$C$14/calc!$F$10*EXP(-calc!$F$11/lob*cs*rev_curb!$A8)-rev_curb!F8/4)</f>
        <v>2.3853281434993403E-07</v>
      </c>
      <c r="P8">
        <f>calc!$F$38*(calc!$C$15/calc!$F$10*EXP(-calc!$F$11/lob*cs*rev_curb!$A8)-rev_curb!G8/4)</f>
        <v>2.3853281434993403E-07</v>
      </c>
      <c r="Q8">
        <f>calc!$F$39*(calc!$C$16/calc!$F$10*EXP(-calc!$F$11/lob*cs*rev_curb!$A8)-rev_curb!H8/4)</f>
        <v>2.3853281434993403E-07</v>
      </c>
      <c r="R8">
        <f>4*W/cs*SUM(K8:Q8)</f>
        <v>0.003998018370198083</v>
      </c>
      <c r="S8">
        <f aca="true" t="shared" si="1" ref="S8:S27">10*LOG10(R8)</f>
        <v>-23.98155214705813</v>
      </c>
      <c r="T8">
        <f aca="true" t="shared" si="2" ref="T8:T27">I8+R8</f>
        <v>0.0046333161614323295</v>
      </c>
      <c r="U8">
        <f aca="true" t="shared" si="3" ref="U8:U27">10*LOG10(T8)</f>
        <v>-23.34108064035856</v>
      </c>
      <c r="V8">
        <f aca="true" t="shared" si="4" ref="V8:V27">R8/T8</f>
        <v>0.8628848606269397</v>
      </c>
      <c r="W8">
        <f aca="true" t="shared" si="5" ref="W8:W27">I8/T8</f>
        <v>0.13711513937306016</v>
      </c>
      <c r="X8">
        <f aca="true" t="shared" si="6" ref="X8:X27">SUM(C8:H8)/T8</f>
        <v>0.0059777607097553954</v>
      </c>
      <c r="Y8">
        <f aca="true" t="shared" si="7" ref="Y8:Y27">10*LOG10(V8)</f>
        <v>-0.6404715066995761</v>
      </c>
      <c r="Z8">
        <f aca="true" t="shared" si="8" ref="Z8:Z27">10*LOG10(W8)</f>
        <v>-8.629145905556042</v>
      </c>
      <c r="AA8">
        <f aca="true" t="shared" si="9" ref="AA8:AA27">10*LOG10(X8)</f>
        <v>-22.23461473792019</v>
      </c>
    </row>
    <row r="9" spans="1:27" ht="13.5">
      <c r="A9">
        <v>0.1</v>
      </c>
      <c r="B9">
        <f>calc!$C$10/calc!$C$17*EXP(-(calc!$C$18/calc!$D$3*cs*rev_curb!A9))</f>
        <v>1.3801509429306975E-05</v>
      </c>
      <c r="C9">
        <f>2*calc!$C$11/calc!$C$23*EXP(-calc!$C$29/calc!$D$4*rev_curb!$L$2*rev_curb!$A9)</f>
        <v>1.1379933685130684E-06</v>
      </c>
      <c r="D9">
        <f>2*calc!$C$12/calc!$C$24*EXP(-calc!$C$30/calc!$D$5*rev_curb!$L$2*rev_curb!$A9)</f>
        <v>1.1379933685130684E-06</v>
      </c>
      <c r="E9">
        <f>2*calc!$C$13/calc!$C$25*EXP(-calc!$C$31/calc!$D$6*rev_curb!$L$2*rev_curb!$A9)</f>
        <v>1.1379933685130684E-06</v>
      </c>
      <c r="F9">
        <f>4*calc!$C$14/calc!$C$44*EXP(-calc!$C$50/rev_curb!$B$1*rev_curb!$L$2*rev_curb!$A9)</f>
        <v>7.40576321694248E-08</v>
      </c>
      <c r="G9">
        <f>4*calc!$C$15/calc!$C$45*EXP(-calc!$C$51/rev_curb!$B$2*rev_curb!$L$2*rev_curb!$A9)</f>
        <v>7.40576321694248E-08</v>
      </c>
      <c r="H9">
        <f>4*calc!$C$16/calc!$C$46*EXP(-calc!$C$52/rev_curb!$B$3*rev_curb!$L$2*rev_curb!$A9)</f>
        <v>7.40576321694248E-08</v>
      </c>
      <c r="I9">
        <f>4*W/cs*SUM(B9:H9)</f>
        <v>6.154469093419219E-05</v>
      </c>
      <c r="J9">
        <f t="shared" si="0"/>
        <v>-42.108094049167505</v>
      </c>
      <c r="K9">
        <f>calc!$F$21*(calc!$C$10/calc!$F$10*EXP(-calc!$F$11/lob*cs*rev_curb!$A9)-$B9)</f>
        <v>0.00039448697061562264</v>
      </c>
      <c r="L9">
        <f>calc!$F$22*(calc!$C$11/calc!$F$10*EXP(-calc!$F$11/lob*cs*rev_curb!$A9)-1/2*rev_curb!C9)</f>
        <v>7.686203149076021E-06</v>
      </c>
      <c r="M9">
        <f>calc!$F$23*(calc!$C$12/calc!$F$10*EXP(-calc!$F$11/lob*cs*rev_curb!$A9)-1/2*rev_curb!D9)</f>
        <v>7.686203149076021E-06</v>
      </c>
      <c r="N9">
        <f>calc!$F$24*(calc!$C$13/calc!$F$10*EXP(-calc!$F$11/lob*cs*rev_curb!$A9)-1/2*rev_curb!E9)</f>
        <v>7.686203149076021E-06</v>
      </c>
      <c r="O9">
        <f>calc!$F$37*(calc!$C$14/calc!$F$10*EXP(-calc!$F$11/lob*cs*rev_curb!$A9)-rev_curb!F9/4)</f>
        <v>1.0107682818474273E-07</v>
      </c>
      <c r="P9">
        <f>calc!$F$38*(calc!$C$15/calc!$F$10*EXP(-calc!$F$11/lob*cs*rev_curb!$A9)-rev_curb!G9/4)</f>
        <v>1.0107682818474273E-07</v>
      </c>
      <c r="Q9">
        <f>calc!$F$39*(calc!$C$16/calc!$F$10*EXP(-calc!$F$11/lob*cs*rev_curb!$A9)-rev_curb!H9/4)</f>
        <v>1.0107682818474273E-07</v>
      </c>
      <c r="R9">
        <f>4*W/cs*SUM(K9:Q9)</f>
        <v>0.0014747605078143703</v>
      </c>
      <c r="S9">
        <f t="shared" si="1"/>
        <v>-28.312785007566855</v>
      </c>
      <c r="T9">
        <f t="shared" si="2"/>
        <v>0.0015363051987485625</v>
      </c>
      <c r="U9">
        <f t="shared" si="3"/>
        <v>-28.135224998215236</v>
      </c>
      <c r="V9">
        <f t="shared" si="4"/>
        <v>0.9599398016850265</v>
      </c>
      <c r="W9">
        <f t="shared" si="5"/>
        <v>0.0400601983149735</v>
      </c>
      <c r="X9">
        <f t="shared" si="6"/>
        <v>0.002366816831062866</v>
      </c>
      <c r="Y9">
        <f t="shared" si="7"/>
        <v>-0.17756000935161945</v>
      </c>
      <c r="Z9">
        <f t="shared" si="8"/>
        <v>-13.972869050952264</v>
      </c>
      <c r="AA9">
        <f t="shared" si="9"/>
        <v>-26.258353510006806</v>
      </c>
    </row>
    <row r="10" spans="1:27" ht="13.5">
      <c r="A10">
        <v>0.15</v>
      </c>
      <c r="B10">
        <f>calc!$C$10/calc!$C$17*EXP(-(calc!$C$18/calc!$D$3*cs*rev_curb!A10))</f>
        <v>1.2506659738001574E-06</v>
      </c>
      <c r="C10">
        <f>2*calc!$C$11/calc!$C$23*EXP(-calc!$C$29/calc!$D$4*rev_curb!$L$2*rev_curb!$A10)</f>
        <v>1.462470120268178E-07</v>
      </c>
      <c r="D10">
        <f>2*calc!$C$12/calc!$C$24*EXP(-calc!$C$30/calc!$D$5*rev_curb!$L$2*rev_curb!$A10)</f>
        <v>1.462470120268178E-07</v>
      </c>
      <c r="E10">
        <f>2*calc!$C$13/calc!$C$25*EXP(-calc!$C$31/calc!$D$6*rev_curb!$L$2*rev_curb!$A10)</f>
        <v>1.462470120268178E-07</v>
      </c>
      <c r="F10">
        <f>4*calc!$C$14/calc!$C$44*EXP(-calc!$C$50/rev_curb!$B$1*rev_curb!$L$2*rev_curb!$A10)</f>
        <v>1.4539900059948857E-08</v>
      </c>
      <c r="G10">
        <f>4*calc!$C$15/calc!$C$45*EXP(-calc!$C$51/rev_curb!$B$2*rev_curb!$L$2*rev_curb!$A10)</f>
        <v>1.4539900059948857E-08</v>
      </c>
      <c r="H10">
        <f>4*calc!$C$16/calc!$C$46*EXP(-calc!$C$52/rev_curb!$B$3*rev_curb!$L$2*rev_curb!$A10)</f>
        <v>1.4539900059948857E-08</v>
      </c>
      <c r="I10">
        <f>4*W/cs*SUM(B10:H10)</f>
        <v>6.1165648590369075E-06</v>
      </c>
      <c r="J10">
        <f t="shared" si="0"/>
        <v>-52.13492414718985</v>
      </c>
      <c r="K10">
        <f>calc!$F$21*(calc!$C$10/calc!$F$10*EXP(-calc!$F$11/lob*cs*rev_curb!$A10)-$B10)</f>
        <v>0.0001348612620529322</v>
      </c>
      <c r="L10">
        <f>calc!$F$22*(calc!$C$11/calc!$F$10*EXP(-calc!$F$11/lob*cs*rev_curb!$A10)-1/2*rev_curb!C10)</f>
        <v>2.698474233991728E-06</v>
      </c>
      <c r="M10">
        <f>calc!$F$23*(calc!$C$12/calc!$F$10*EXP(-calc!$F$11/lob*cs*rev_curb!$A10)-1/2*rev_curb!D10)</f>
        <v>2.698474233991728E-06</v>
      </c>
      <c r="N10">
        <f>calc!$F$24*(calc!$C$13/calc!$F$10*EXP(-calc!$F$11/lob*cs*rev_curb!$A10)-1/2*rev_curb!E10)</f>
        <v>2.698474233991728E-06</v>
      </c>
      <c r="O10">
        <f>calc!$F$37*(calc!$C$14/calc!$F$10*EXP(-calc!$F$11/lob*cs*rev_curb!$A10)-rev_curb!F10/4)</f>
        <v>3.792845028275484E-08</v>
      </c>
      <c r="P10">
        <f>calc!$F$38*(calc!$C$15/calc!$F$10*EXP(-calc!$F$11/lob*cs*rev_curb!$A10)-rev_curb!G10/4)</f>
        <v>3.792845028275484E-08</v>
      </c>
      <c r="Q10">
        <f>calc!$F$39*(calc!$C$16/calc!$F$10*EXP(-calc!$F$11/lob*cs*rev_curb!$A10)-rev_curb!H10/4)</f>
        <v>3.792845028275484E-08</v>
      </c>
      <c r="R10">
        <f>4*W/cs*SUM(K10:Q10)</f>
        <v>0.0005049546003732554</v>
      </c>
      <c r="S10">
        <f t="shared" si="1"/>
        <v>-32.96747666819362</v>
      </c>
      <c r="T10">
        <f t="shared" si="2"/>
        <v>0.0005110711652322924</v>
      </c>
      <c r="U10">
        <f t="shared" si="3"/>
        <v>-32.915186213608756</v>
      </c>
      <c r="V10">
        <f t="shared" si="4"/>
        <v>0.9880318725157252</v>
      </c>
      <c r="W10">
        <f t="shared" si="5"/>
        <v>0.011968127484274725</v>
      </c>
      <c r="X10">
        <f t="shared" si="6"/>
        <v>0.0009438230310666363</v>
      </c>
      <c r="Y10">
        <f t="shared" si="7"/>
        <v>-0.052290454584864546</v>
      </c>
      <c r="Z10">
        <f t="shared" si="8"/>
        <v>-19.219737933581097</v>
      </c>
      <c r="AA10">
        <f t="shared" si="9"/>
        <v>-30.25109429257199</v>
      </c>
    </row>
    <row r="11" spans="1:27" ht="13.5">
      <c r="A11">
        <v>0.2</v>
      </c>
      <c r="B11">
        <f>calc!$C$10/calc!$C$17*EXP(-(calc!$C$18/calc!$D$3*cs*rev_curb!A11))</f>
        <v>1.133329210137009E-07</v>
      </c>
      <c r="C11">
        <f>2*calc!$C$11/calc!$C$23*EXP(-calc!$C$29/calc!$D$4*rev_curb!$L$2*rev_curb!$A11)</f>
        <v>1.879465128581418E-08</v>
      </c>
      <c r="D11">
        <f>2*calc!$C$12/calc!$C$24*EXP(-calc!$C$30/calc!$D$5*rev_curb!$L$2*rev_curb!$A11)</f>
        <v>1.879465128581418E-08</v>
      </c>
      <c r="E11">
        <f>2*calc!$C$13/calc!$C$25*EXP(-calc!$C$31/calc!$D$6*rev_curb!$L$2*rev_curb!$A11)</f>
        <v>1.879465128581418E-08</v>
      </c>
      <c r="F11">
        <f>4*calc!$C$14/calc!$C$44*EXP(-calc!$C$50/rev_curb!$B$1*rev_curb!$L$2*rev_curb!$A11)</f>
        <v>2.8546510003135368E-09</v>
      </c>
      <c r="G11">
        <f>4*calc!$C$15/calc!$C$45*EXP(-calc!$C$51/rev_curb!$B$2*rev_curb!$L$2*rev_curb!$A11)</f>
        <v>2.8546510003135368E-09</v>
      </c>
      <c r="H11">
        <f>4*calc!$C$16/calc!$C$46*EXP(-calc!$C$52/rev_curb!$B$3*rev_curb!$L$2*rev_curb!$A11)</f>
        <v>2.8546510003135368E-09</v>
      </c>
      <c r="I11">
        <f>4*W/cs*SUM(B11:H11)</f>
        <v>6.292264513132378E-07</v>
      </c>
      <c r="J11">
        <f t="shared" si="0"/>
        <v>-62.01193028868336</v>
      </c>
      <c r="K11">
        <f>calc!$F$21*(calc!$C$10/calc!$F$10*EXP(-calc!$F$11/lob*cs*rev_curb!$A11)-$B11)</f>
        <v>4.526256636743955E-05</v>
      </c>
      <c r="L11">
        <f>calc!$F$22*(calc!$C$11/calc!$F$10*EXP(-calc!$F$11/lob*cs*rev_curb!$A11)-1/2*rev_curb!C11)</f>
        <v>9.17087497286349E-07</v>
      </c>
      <c r="M11">
        <f>calc!$F$23*(calc!$C$12/calc!$F$10*EXP(-calc!$F$11/lob*cs*rev_curb!$A11)-1/2*rev_curb!D11)</f>
        <v>9.17087497286349E-07</v>
      </c>
      <c r="N11">
        <f>calc!$F$24*(calc!$C$13/calc!$F$10*EXP(-calc!$F$11/lob*cs*rev_curb!$A11)-1/2*rev_curb!E11)</f>
        <v>9.17087497286349E-07</v>
      </c>
      <c r="O11">
        <f>calc!$F$37*(calc!$C$14/calc!$F$10*EXP(-calc!$F$11/lob*cs*rev_curb!$A11)-rev_curb!F11/4)</f>
        <v>1.3475212684553102E-08</v>
      </c>
      <c r="P11">
        <f>calc!$F$38*(calc!$C$15/calc!$F$10*EXP(-calc!$F$11/lob*cs*rev_curb!$A11)-rev_curb!G11/4)</f>
        <v>1.3475212684553102E-08</v>
      </c>
      <c r="Q11">
        <f>calc!$F$39*(calc!$C$16/calc!$F$10*EXP(-calc!$F$11/lob*cs*rev_curb!$A11)-rev_curb!H11/4)</f>
        <v>1.3475212684553102E-08</v>
      </c>
      <c r="R11">
        <f>4*W/cs*SUM(K11:Q11)</f>
        <v>0.0001696032511671256</v>
      </c>
      <c r="S11">
        <f t="shared" si="1"/>
        <v>-37.705658269000054</v>
      </c>
      <c r="T11">
        <f t="shared" si="2"/>
        <v>0.00017023247761843886</v>
      </c>
      <c r="U11">
        <f t="shared" si="3"/>
        <v>-37.689575799453294</v>
      </c>
      <c r="V11">
        <f t="shared" si="4"/>
        <v>0.9963037226496603</v>
      </c>
      <c r="W11">
        <f t="shared" si="5"/>
        <v>0.003696277350339655</v>
      </c>
      <c r="X11">
        <f t="shared" si="6"/>
        <v>0.00038152476993231674</v>
      </c>
      <c r="Y11">
        <f t="shared" si="7"/>
        <v>-0.01608246954676303</v>
      </c>
      <c r="Z11">
        <f t="shared" si="8"/>
        <v>-24.322354489230072</v>
      </c>
      <c r="AA11">
        <f t="shared" si="9"/>
        <v>-34.184772608658264</v>
      </c>
    </row>
    <row r="12" spans="1:27" ht="13.5">
      <c r="A12">
        <v>0.25</v>
      </c>
      <c r="B12">
        <f>calc!$C$10/calc!$C$17*EXP(-(calc!$C$18/calc!$D$3*cs*rev_curb!A12))</f>
        <v>1.0270009142785035E-08</v>
      </c>
      <c r="C12">
        <f>2*calc!$C$11/calc!$C$23*EXP(-calc!$C$29/calc!$D$4*rev_curb!$L$2*rev_curb!$A12)</f>
        <v>2.4153581810654884E-09</v>
      </c>
      <c r="D12">
        <f>2*calc!$C$12/calc!$C$24*EXP(-calc!$C$30/calc!$D$5*rev_curb!$L$2*rev_curb!$A12)</f>
        <v>2.4153581810654884E-09</v>
      </c>
      <c r="E12">
        <f>2*calc!$C$13/calc!$C$25*EXP(-calc!$C$31/calc!$D$6*rev_curb!$L$2*rev_curb!$A12)</f>
        <v>2.4153581810654884E-09</v>
      </c>
      <c r="F12">
        <f>4*calc!$C$14/calc!$C$44*EXP(-calc!$C$50/rev_curb!$B$1*rev_curb!$L$2*rev_curb!$A12)</f>
        <v>5.604599962855417E-10</v>
      </c>
      <c r="G12">
        <f>4*calc!$C$15/calc!$C$45*EXP(-calc!$C$51/rev_curb!$B$2*rev_curb!$L$2*rev_curb!$A12)</f>
        <v>5.604599962855417E-10</v>
      </c>
      <c r="H12">
        <f>4*calc!$C$16/calc!$C$46*EXP(-calc!$C$52/rev_curb!$B$3*rev_curb!$L$2*rev_curb!$A12)</f>
        <v>5.604599962855417E-10</v>
      </c>
      <c r="I12">
        <f>4*W/cs*SUM(B12:H12)</f>
        <v>6.775575414648751E-08</v>
      </c>
      <c r="J12">
        <f t="shared" si="0"/>
        <v>-71.69053816498557</v>
      </c>
      <c r="K12">
        <f>calc!$F$21*(calc!$C$10/calc!$F$10*EXP(-calc!$F$11/lob*cs*rev_curb!$A12)-$B12)</f>
        <v>1.5116782160976125E-05</v>
      </c>
      <c r="L12">
        <f>calc!$F$22*(calc!$C$11/calc!$F$10*EXP(-calc!$F$11/lob*cs*rev_curb!$A12)-1/2*rev_curb!C12)</f>
        <v>3.0797918410558307E-07</v>
      </c>
      <c r="M12">
        <f>calc!$F$23*(calc!$C$12/calc!$F$10*EXP(-calc!$F$11/lob*cs*rev_curb!$A12)-1/2*rev_curb!D12)</f>
        <v>3.0797918410558307E-07</v>
      </c>
      <c r="N12">
        <f>calc!$F$24*(calc!$C$13/calc!$F$10*EXP(-calc!$F$11/lob*cs*rev_curb!$A12)-1/2*rev_curb!E12)</f>
        <v>3.0797918410558307E-07</v>
      </c>
      <c r="O12">
        <f>calc!$F$37*(calc!$C$14/calc!$F$10*EXP(-calc!$F$11/lob*cs*rev_curb!$A12)-rev_curb!F12/4)</f>
        <v>4.655396533891026E-09</v>
      </c>
      <c r="P12">
        <f>calc!$F$38*(calc!$C$15/calc!$F$10*EXP(-calc!$F$11/lob*cs*rev_curb!$A12)-rev_curb!G12/4)</f>
        <v>4.655396533891026E-09</v>
      </c>
      <c r="Q12">
        <f>calc!$F$39*(calc!$C$16/calc!$F$10*EXP(-calc!$F$11/lob*cs*rev_curb!$A12)-rev_curb!H12/4)</f>
        <v>4.655396533891026E-09</v>
      </c>
      <c r="R12">
        <f>4*W/cs*SUM(K12:Q12)</f>
        <v>5.666359730433369E-05</v>
      </c>
      <c r="S12">
        <f t="shared" si="1"/>
        <v>-42.46695857633626</v>
      </c>
      <c r="T12">
        <f t="shared" si="2"/>
        <v>5.673135305848018E-05</v>
      </c>
      <c r="U12">
        <f t="shared" si="3"/>
        <v>-42.46176858268119</v>
      </c>
      <c r="V12">
        <f t="shared" si="4"/>
        <v>0.998805673573894</v>
      </c>
      <c r="W12">
        <f t="shared" si="5"/>
        <v>0.0011943264261059152</v>
      </c>
      <c r="X12">
        <f t="shared" si="6"/>
        <v>0.00015736368076485735</v>
      </c>
      <c r="Y12">
        <f t="shared" si="7"/>
        <v>-0.0051899936550699344</v>
      </c>
      <c r="Z12">
        <f t="shared" si="8"/>
        <v>-29.228769582304377</v>
      </c>
      <c r="AA12">
        <f t="shared" si="9"/>
        <v>-38.030954947437046</v>
      </c>
    </row>
    <row r="13" spans="1:27" ht="13.5">
      <c r="A13">
        <v>0.3</v>
      </c>
      <c r="B13">
        <f>calc!$C$10/calc!$C$17*EXP(-(calc!$C$18/calc!$D$3*cs*rev_curb!A13))</f>
        <v>9.306482780950958E-10</v>
      </c>
      <c r="C13">
        <f>2*calc!$C$11/calc!$C$23*EXP(-calc!$C$29/calc!$D$4*rev_curb!$L$2*rev_curb!$A13)</f>
        <v>3.1040507504618263E-10</v>
      </c>
      <c r="D13">
        <f>2*calc!$C$12/calc!$C$24*EXP(-calc!$C$30/calc!$D$5*rev_curb!$L$2*rev_curb!$A13)</f>
        <v>3.1040507504618263E-10</v>
      </c>
      <c r="E13">
        <f>2*calc!$C$13/calc!$C$25*EXP(-calc!$C$31/calc!$D$6*rev_curb!$L$2*rev_curb!$A13)</f>
        <v>3.1040507504618263E-10</v>
      </c>
      <c r="F13">
        <f>4*calc!$C$14/calc!$C$44*EXP(-calc!$C$50/rev_curb!$B$1*rev_curb!$L$2*rev_curb!$A13)</f>
        <v>1.1003636080273535E-10</v>
      </c>
      <c r="G13">
        <f>4*calc!$C$15/calc!$C$45*EXP(-calc!$C$51/rev_curb!$B$2*rev_curb!$L$2*rev_curb!$A13)</f>
        <v>1.1003636080273535E-10</v>
      </c>
      <c r="H13">
        <f>4*calc!$C$16/calc!$C$46*EXP(-calc!$C$52/rev_curb!$B$3*rev_curb!$L$2*rev_curb!$A13)</f>
        <v>1.1003636080273535E-10</v>
      </c>
      <c r="I13">
        <f>4*W/cs*SUM(B13:H13)</f>
        <v>7.736373831677115E-09</v>
      </c>
      <c r="J13">
        <f t="shared" si="0"/>
        <v>-81.11462552742026</v>
      </c>
      <c r="K13">
        <f>calc!$F$21*(calc!$C$10/calc!$F$10*EXP(-calc!$F$11/lob*cs*rev_curb!$A13)-$B13)</f>
        <v>5.042004278539516E-06</v>
      </c>
      <c r="L13">
        <f>calc!$F$22*(calc!$C$11/calc!$F$10*EXP(-calc!$F$11/lob*cs*rev_curb!$A13)-1/2*rev_curb!C13)</f>
        <v>1.02960510999465E-07</v>
      </c>
      <c r="M13">
        <f>calc!$F$23*(calc!$C$12/calc!$F$10*EXP(-calc!$F$11/lob*cs*rev_curb!$A13)-1/2*rev_curb!D13)</f>
        <v>1.02960510999465E-07</v>
      </c>
      <c r="N13">
        <f>calc!$F$24*(calc!$C$13/calc!$F$10*EXP(-calc!$F$11/lob*cs*rev_curb!$A13)-1/2*rev_curb!E13)</f>
        <v>1.02960510999465E-07</v>
      </c>
      <c r="O13">
        <f>calc!$F$37*(calc!$C$14/calc!$F$10*EXP(-calc!$F$11/lob*cs*rev_curb!$A13)-rev_curb!F13/4)</f>
        <v>1.5840079927943174E-09</v>
      </c>
      <c r="P13">
        <f>calc!$F$38*(calc!$C$15/calc!$F$10*EXP(-calc!$F$11/lob*cs*rev_curb!$A13)-rev_curb!G13/4)</f>
        <v>1.5840079927943174E-09</v>
      </c>
      <c r="Q13">
        <f>calc!$F$39*(calc!$C$16/calc!$F$10*EXP(-calc!$F$11/lob*cs*rev_curb!$A13)-rev_curb!H13/4)</f>
        <v>1.5840079927943174E-09</v>
      </c>
      <c r="R13">
        <f>4*W/cs*SUM(K13:Q13)</f>
        <v>1.8902251184175147E-05</v>
      </c>
      <c r="S13">
        <f t="shared" si="1"/>
        <v>-47.23486469972578</v>
      </c>
      <c r="T13">
        <f t="shared" si="2"/>
        <v>1.8909987558006825E-05</v>
      </c>
      <c r="U13">
        <f t="shared" si="3"/>
        <v>-47.23308756902753</v>
      </c>
      <c r="V13">
        <f t="shared" si="4"/>
        <v>0.9995908842452728</v>
      </c>
      <c r="W13">
        <f t="shared" si="5"/>
        <v>0.00040911575472726304</v>
      </c>
      <c r="X13">
        <f t="shared" si="6"/>
        <v>6.670148796648399E-05</v>
      </c>
      <c r="Y13">
        <f t="shared" si="7"/>
        <v>-0.0017771306982531268</v>
      </c>
      <c r="Z13">
        <f t="shared" si="8"/>
        <v>-33.88153795839273</v>
      </c>
      <c r="AA13">
        <f t="shared" si="9"/>
        <v>-41.75864477801212</v>
      </c>
    </row>
    <row r="14" spans="1:27" ht="13.5">
      <c r="A14">
        <v>0.35</v>
      </c>
      <c r="B14">
        <f>calc!$C$10/calc!$C$17*EXP(-(calc!$C$18/calc!$D$3*cs*rev_curb!A14))</f>
        <v>8.433353909230257E-11</v>
      </c>
      <c r="C14">
        <f>2*calc!$C$11/calc!$C$23*EXP(-calc!$C$29/calc!$D$4*rev_curb!$L$2*rev_curb!$A14)</f>
        <v>3.989110657365227E-11</v>
      </c>
      <c r="D14">
        <f>2*calc!$C$12/calc!$C$24*EXP(-calc!$C$30/calc!$D$5*rev_curb!$L$2*rev_curb!$A14)</f>
        <v>3.989110657365227E-11</v>
      </c>
      <c r="E14">
        <f>2*calc!$C$13/calc!$C$25*EXP(-calc!$C$31/calc!$D$6*rev_curb!$L$2*rev_curb!$A14)</f>
        <v>3.989110657365227E-11</v>
      </c>
      <c r="F14">
        <f>4*calc!$C$14/calc!$C$44*EXP(-calc!$C$50/rev_curb!$B$1*rev_curb!$L$2*rev_curb!$A14)</f>
        <v>2.1603684079070252E-11</v>
      </c>
      <c r="G14">
        <f>4*calc!$C$15/calc!$C$45*EXP(-calc!$C$51/rev_curb!$B$2*rev_curb!$L$2*rev_curb!$A14)</f>
        <v>2.1603684079070252E-11</v>
      </c>
      <c r="H14">
        <f>4*calc!$C$16/calc!$C$46*EXP(-calc!$C$52/rev_curb!$B$3*rev_curb!$L$2*rev_curb!$A14)</f>
        <v>2.1603684079070252E-11</v>
      </c>
      <c r="I14">
        <f>4*W/cs*SUM(B14:H14)</f>
        <v>9.487690978251887E-10</v>
      </c>
      <c r="J14">
        <f t="shared" si="0"/>
        <v>-90.22839469071042</v>
      </c>
      <c r="K14">
        <f>calc!$F$21*(calc!$C$10/calc!$F$10*EXP(-calc!$F$11/lob*cs*rev_curb!$A14)-$B14)</f>
        <v>1.6810887324434688E-06</v>
      </c>
      <c r="L14">
        <f>calc!$F$22*(calc!$C$11/calc!$F$10*EXP(-calc!$F$11/lob*cs*rev_curb!$A14)-1/2*rev_curb!C14)</f>
        <v>3.436127263946202E-08</v>
      </c>
      <c r="M14">
        <f>calc!$F$23*(calc!$C$12/calc!$F$10*EXP(-calc!$F$11/lob*cs*rev_curb!$A14)-1/2*rev_curb!D14)</f>
        <v>3.436127263946202E-08</v>
      </c>
      <c r="N14">
        <f>calc!$F$24*(calc!$C$13/calc!$F$10*EXP(-calc!$F$11/lob*cs*rev_curb!$A14)-1/2*rev_curb!E14)</f>
        <v>3.436127263946202E-08</v>
      </c>
      <c r="O14">
        <f>calc!$F$37*(calc!$C$14/calc!$F$10*EXP(-calc!$F$11/lob*cs*rev_curb!$A14)-rev_curb!F14/4)</f>
        <v>5.34352233537642E-10</v>
      </c>
      <c r="P14">
        <f>calc!$F$38*(calc!$C$15/calc!$F$10*EXP(-calc!$F$11/lob*cs*rev_curb!$A14)-rev_curb!G14/4)</f>
        <v>5.34352233537642E-10</v>
      </c>
      <c r="Q14">
        <f>calc!$F$39*(calc!$C$16/calc!$F$10*EXP(-calc!$F$11/lob*cs*rev_curb!$A14)-rev_curb!H14/4)</f>
        <v>5.34352233537642E-10</v>
      </c>
      <c r="R14">
        <f>4*W/cs*SUM(K14:Q14)</f>
        <v>6.3027374366910625E-06</v>
      </c>
      <c r="S14">
        <f t="shared" si="1"/>
        <v>-52.00470784603935</v>
      </c>
      <c r="T14">
        <f t="shared" si="2"/>
        <v>6.303686205788888E-06</v>
      </c>
      <c r="U14">
        <f t="shared" si="3"/>
        <v>-52.004054139331956</v>
      </c>
      <c r="V14">
        <f t="shared" si="4"/>
        <v>0.999849489795835</v>
      </c>
      <c r="W14">
        <f t="shared" si="5"/>
        <v>0.0001505102041649697</v>
      </c>
      <c r="X14">
        <f t="shared" si="6"/>
        <v>2.926610969130243E-05</v>
      </c>
      <c r="Y14">
        <f t="shared" si="7"/>
        <v>-0.000653706707389102</v>
      </c>
      <c r="Z14">
        <f t="shared" si="8"/>
        <v>-38.224340551378454</v>
      </c>
      <c r="AA14">
        <f t="shared" si="9"/>
        <v>-45.33635003971726</v>
      </c>
    </row>
    <row r="15" spans="1:27" ht="13.5">
      <c r="A15">
        <v>0.4</v>
      </c>
      <c r="B15">
        <f>calc!$C$10/calc!$C$17*EXP(-(calc!$C$18/calc!$D$3*cs*rev_curb!A15))</f>
        <v>7.642141486997079E-12</v>
      </c>
      <c r="C15">
        <f>2*calc!$C$11/calc!$C$23*EXP(-calc!$C$29/calc!$D$4*rev_curb!$L$2*rev_curb!$A15)</f>
        <v>5.126528241955196E-12</v>
      </c>
      <c r="D15">
        <f>2*calc!$C$12/calc!$C$24*EXP(-calc!$C$30/calc!$D$5*rev_curb!$L$2*rev_curb!$A15)</f>
        <v>5.126528241955196E-12</v>
      </c>
      <c r="E15">
        <f>2*calc!$C$13/calc!$C$25*EXP(-calc!$C$31/calc!$D$6*rev_curb!$L$2*rev_curb!$A15)</f>
        <v>5.126528241955196E-12</v>
      </c>
      <c r="F15">
        <f>4*calc!$C$14/calc!$C$44*EXP(-calc!$C$50/rev_curb!$B$1*rev_curb!$L$2*rev_curb!$A15)</f>
        <v>4.241499467843829E-12</v>
      </c>
      <c r="G15">
        <f>4*calc!$C$15/calc!$C$45*EXP(-calc!$C$51/rev_curb!$B$2*rev_curb!$L$2*rev_curb!$A15)</f>
        <v>4.241499467843829E-12</v>
      </c>
      <c r="H15">
        <f>4*calc!$C$16/calc!$C$46*EXP(-calc!$C$52/rev_curb!$B$3*rev_curb!$L$2*rev_curb!$A15)</f>
        <v>4.241499467843829E-12</v>
      </c>
      <c r="I15">
        <f>4*W/cs*SUM(B15:H15)</f>
        <v>1.2616314570492053E-10</v>
      </c>
      <c r="J15">
        <f t="shared" si="0"/>
        <v>-98.99067491007175</v>
      </c>
      <c r="K15">
        <f>calc!$F$21*(calc!$C$10/calc!$F$10*EXP(-calc!$F$11/lob*cs*rev_curb!$A15)-$B15)</f>
        <v>5.604483063886265E-07</v>
      </c>
      <c r="L15">
        <f>calc!$F$22*(calc!$C$11/calc!$F$10*EXP(-calc!$F$11/lob*cs*rev_curb!$A15)-1/2*rev_curb!C15)</f>
        <v>1.1459855746464113E-08</v>
      </c>
      <c r="M15">
        <f>calc!$F$23*(calc!$C$12/calc!$F$10*EXP(-calc!$F$11/lob*cs*rev_curb!$A15)-1/2*rev_curb!D15)</f>
        <v>1.1459855746464113E-08</v>
      </c>
      <c r="N15">
        <f>calc!$F$24*(calc!$C$13/calc!$F$10*EXP(-calc!$F$11/lob*cs*rev_curb!$A15)-1/2*rev_curb!E15)</f>
        <v>1.1459855746464113E-08</v>
      </c>
      <c r="O15">
        <f>calc!$F$37*(calc!$C$14/calc!$F$10*EXP(-calc!$F$11/lob*cs*rev_curb!$A15)-rev_curb!F15/4)</f>
        <v>1.7937266240327722E-10</v>
      </c>
      <c r="P15">
        <f>calc!$F$38*(calc!$C$15/calc!$F$10*EXP(-calc!$F$11/lob*cs*rev_curb!$A15)-rev_curb!G15/4)</f>
        <v>1.7937266240327722E-10</v>
      </c>
      <c r="Q15">
        <f>calc!$F$39*(calc!$C$16/calc!$F$10*EXP(-calc!$F$11/lob*cs*rev_curb!$A15)-rev_curb!H15/4)</f>
        <v>1.7937266240327722E-10</v>
      </c>
      <c r="R15">
        <f>4*W/cs*SUM(K15:Q15)</f>
        <v>2.101291735112572E-06</v>
      </c>
      <c r="S15">
        <f t="shared" si="1"/>
        <v>-56.77513647663553</v>
      </c>
      <c r="T15">
        <f t="shared" si="2"/>
        <v>2.1014178982582767E-06</v>
      </c>
      <c r="U15">
        <f t="shared" si="3"/>
        <v>-56.774875730770155</v>
      </c>
      <c r="V15">
        <f t="shared" si="4"/>
        <v>0.9999399628480325</v>
      </c>
      <c r="W15">
        <f t="shared" si="5"/>
        <v>6.003715196748283E-05</v>
      </c>
      <c r="X15">
        <f t="shared" si="6"/>
        <v>1.3373866831861785E-05</v>
      </c>
      <c r="Y15">
        <f t="shared" si="7"/>
        <v>-0.00026074586538440655</v>
      </c>
      <c r="Z15">
        <f t="shared" si="8"/>
        <v>-42.2157991793016</v>
      </c>
      <c r="AA15">
        <f t="shared" si="9"/>
        <v>-48.73743005532375</v>
      </c>
    </row>
    <row r="16" spans="1:27" ht="13.5">
      <c r="A16">
        <v>0.45</v>
      </c>
      <c r="B16">
        <f>calc!$C$10/calc!$C$17*EXP(-(calc!$C$18/calc!$D$3*cs*rev_curb!A16))</f>
        <v>6.925160159988177E-13</v>
      </c>
      <c r="C16">
        <f>2*calc!$C$11/calc!$C$23*EXP(-calc!$C$29/calc!$D$4*rev_curb!$L$2*rev_curb!$A16)</f>
        <v>6.588258404674826E-13</v>
      </c>
      <c r="D16">
        <f>2*calc!$C$12/calc!$C$24*EXP(-calc!$C$30/calc!$D$5*rev_curb!$L$2*rev_curb!$A16)</f>
        <v>6.588258404674826E-13</v>
      </c>
      <c r="E16">
        <f>2*calc!$C$13/calc!$C$25*EXP(-calc!$C$31/calc!$D$6*rev_curb!$L$2*rev_curb!$A16)</f>
        <v>6.588258404674826E-13</v>
      </c>
      <c r="F16">
        <f>4*calc!$C$14/calc!$C$44*EXP(-calc!$C$50/rev_curb!$B$1*rev_curb!$L$2*rev_curb!$A16)</f>
        <v>8.32743048355747E-13</v>
      </c>
      <c r="G16">
        <f>4*calc!$C$15/calc!$C$45*EXP(-calc!$C$51/rev_curb!$B$2*rev_curb!$L$2*rev_curb!$A16)</f>
        <v>8.32743048355747E-13</v>
      </c>
      <c r="H16">
        <f>4*calc!$C$16/calc!$C$46*EXP(-calc!$C$52/rev_curb!$B$3*rev_curb!$L$2*rev_curb!$A16)</f>
        <v>8.32743048355747E-13</v>
      </c>
      <c r="I16">
        <f>4*W/cs*SUM(B16:H16)</f>
        <v>1.8237256526359434E-11</v>
      </c>
      <c r="J16">
        <f t="shared" si="0"/>
        <v>-107.39040493040338</v>
      </c>
      <c r="K16">
        <f>calc!$F$21*(calc!$C$10/calc!$F$10*EXP(-calc!$F$11/lob*cs*rev_curb!$A16)-$B16)</f>
        <v>1.868396016801124E-07</v>
      </c>
      <c r="L16">
        <f>calc!$F$22*(calc!$C$11/calc!$F$10*EXP(-calc!$F$11/lob*cs*rev_curb!$A16)-1/2*rev_curb!C16)</f>
        <v>3.821007650935441E-09</v>
      </c>
      <c r="M16">
        <f>calc!$F$23*(calc!$C$12/calc!$F$10*EXP(-calc!$F$11/lob*cs*rev_curb!$A16)-1/2*rev_curb!D16)</f>
        <v>3.821007650935441E-09</v>
      </c>
      <c r="N16">
        <f>calc!$F$24*(calc!$C$13/calc!$F$10*EXP(-calc!$F$11/lob*cs*rev_curb!$A16)-1/2*rev_curb!E16)</f>
        <v>3.821007650935441E-09</v>
      </c>
      <c r="O16">
        <f>calc!$F$37*(calc!$C$14/calc!$F$10*EXP(-calc!$F$11/lob*cs*rev_curb!$A16)-rev_curb!F16/4)</f>
        <v>6.004020944946675E-11</v>
      </c>
      <c r="P16">
        <f>calc!$F$38*(calc!$C$15/calc!$F$10*EXP(-calc!$F$11/lob*cs*rev_curb!$A16)-rev_curb!G16/4)</f>
        <v>6.004020944946675E-11</v>
      </c>
      <c r="Q16">
        <f>calc!$F$39*(calc!$C$16/calc!$F$10*EXP(-calc!$F$11/lob*cs*rev_curb!$A16)-rev_curb!H16/4)</f>
        <v>6.004020944946675E-11</v>
      </c>
      <c r="R16">
        <f>4*W/cs*SUM(K16:Q16)</f>
        <v>7.005273362162369E-07</v>
      </c>
      <c r="S16">
        <f t="shared" si="1"/>
        <v>-61.54574912860393</v>
      </c>
      <c r="T16">
        <f t="shared" si="2"/>
        <v>7.005455734727632E-07</v>
      </c>
      <c r="U16">
        <f t="shared" si="3"/>
        <v>-61.545636067537366</v>
      </c>
      <c r="V16">
        <f t="shared" si="4"/>
        <v>0.9999739670662168</v>
      </c>
      <c r="W16">
        <f t="shared" si="5"/>
        <v>2.6032933783241568E-05</v>
      </c>
      <c r="X16">
        <f t="shared" si="6"/>
        <v>6.387459768373889E-06</v>
      </c>
      <c r="Y16">
        <f t="shared" si="7"/>
        <v>-0.00011306106656009541</v>
      </c>
      <c r="Z16">
        <f t="shared" si="8"/>
        <v>-45.84476886286601</v>
      </c>
      <c r="AA16">
        <f t="shared" si="9"/>
        <v>-51.94671822266741</v>
      </c>
    </row>
    <row r="17" spans="1:27" ht="13.5">
      <c r="A17">
        <v>0.5</v>
      </c>
      <c r="B17">
        <f>calc!$C$10/calc!$C$17*EXP(-(calc!$C$18/calc!$D$3*cs*rev_curb!A17))</f>
        <v>6.275445609465174E-14</v>
      </c>
      <c r="C17">
        <f>2*calc!$C$11/calc!$C$23*EXP(-calc!$C$29/calc!$D$4*rev_curb!$L$2*rev_curb!$A17)</f>
        <v>8.46677259115501E-14</v>
      </c>
      <c r="D17">
        <f>2*calc!$C$12/calc!$C$24*EXP(-calc!$C$30/calc!$D$5*rev_curb!$L$2*rev_curb!$A17)</f>
        <v>8.46677259115501E-14</v>
      </c>
      <c r="E17">
        <f>2*calc!$C$13/calc!$C$25*EXP(-calc!$C$31/calc!$D$6*rev_curb!$L$2*rev_curb!$A17)</f>
        <v>8.46677259115501E-14</v>
      </c>
      <c r="F17">
        <f>4*calc!$C$14/calc!$C$44*EXP(-calc!$C$50/rev_curb!$B$1*rev_curb!$L$2*rev_curb!$A17)</f>
        <v>1.6349429956131645E-13</v>
      </c>
      <c r="G17">
        <f>4*calc!$C$15/calc!$C$45*EXP(-calc!$C$51/rev_curb!$B$2*rev_curb!$L$2*rev_curb!$A17)</f>
        <v>1.6349429956131645E-13</v>
      </c>
      <c r="H17">
        <f>4*calc!$C$16/calc!$C$46*EXP(-calc!$C$52/rev_curb!$B$3*rev_curb!$L$2*rev_curb!$A17)</f>
        <v>1.6349429956131645E-13</v>
      </c>
      <c r="I17">
        <f>4*W/cs*SUM(B17:H17)</f>
        <v>2.84908423239971E-12</v>
      </c>
      <c r="J17">
        <f t="shared" si="0"/>
        <v>-115.45294710772589</v>
      </c>
      <c r="K17">
        <f>calc!$F$21*(calc!$C$10/calc!$F$10*EXP(-calc!$F$11/lob*cs*rev_curb!$A17)-$B17)</f>
        <v>6.228725104219671E-08</v>
      </c>
      <c r="L17">
        <f>calc!$F$22*(calc!$C$11/calc!$F$10*EXP(-calc!$F$11/lob*cs*rev_curb!$A17)-1/2*rev_curb!C17)</f>
        <v>1.2738955823116585E-09</v>
      </c>
      <c r="M17">
        <f>calc!$F$23*(calc!$C$12/calc!$F$10*EXP(-calc!$F$11/lob*cs*rev_curb!$A17)-1/2*rev_curb!D17)</f>
        <v>1.2738955823116585E-09</v>
      </c>
      <c r="N17">
        <f>calc!$F$24*(calc!$C$13/calc!$F$10*EXP(-calc!$F$11/lob*cs*rev_curb!$A17)-1/2*rev_curb!E17)</f>
        <v>1.2738955823116585E-09</v>
      </c>
      <c r="O17">
        <f>calc!$F$37*(calc!$C$14/calc!$F$10*EXP(-calc!$F$11/lob*cs*rev_curb!$A17)-rev_curb!F17/4)</f>
        <v>2.0063311771458943E-11</v>
      </c>
      <c r="P17">
        <f>calc!$F$38*(calc!$C$15/calc!$F$10*EXP(-calc!$F$11/lob*cs*rev_curb!$A17)-rev_curb!G17/4)</f>
        <v>2.0063311771458943E-11</v>
      </c>
      <c r="Q17">
        <f>calc!$F$39*(calc!$C$16/calc!$F$10*EXP(-calc!$F$11/lob*cs*rev_curb!$A17)-rev_curb!H17/4)</f>
        <v>2.0063311771458943E-11</v>
      </c>
      <c r="R17">
        <f>4*W/cs*SUM(K17:Q17)</f>
        <v>2.335380978509861E-07</v>
      </c>
      <c r="S17">
        <f t="shared" si="1"/>
        <v>-66.31642261407053</v>
      </c>
      <c r="T17">
        <f t="shared" si="2"/>
        <v>2.335409469352185E-07</v>
      </c>
      <c r="U17">
        <f t="shared" si="3"/>
        <v>-66.31636963196506</v>
      </c>
      <c r="V17">
        <f t="shared" si="4"/>
        <v>0.9999878004937901</v>
      </c>
      <c r="W17">
        <f t="shared" si="5"/>
        <v>1.219950620988966E-05</v>
      </c>
      <c r="X17">
        <f t="shared" si="6"/>
        <v>3.1878181800175332E-06</v>
      </c>
      <c r="Y17">
        <f t="shared" si="7"/>
        <v>-5.298210546745033E-05</v>
      </c>
      <c r="Z17">
        <f t="shared" si="8"/>
        <v>-49.13657747576083</v>
      </c>
      <c r="AA17">
        <f t="shared" si="9"/>
        <v>-54.96506456933051</v>
      </c>
    </row>
    <row r="18" spans="1:27" ht="13.5">
      <c r="A18">
        <v>0.55</v>
      </c>
      <c r="B18">
        <f>calc!$C$10/calc!$C$17*EXP(-(calc!$C$18/calc!$D$3*cs*rev_curb!A18))</f>
        <v>5.686686905075538E-15</v>
      </c>
      <c r="C18">
        <f>2*calc!$C$11/calc!$C$23*EXP(-calc!$C$29/calc!$D$4*rev_curb!$L$2*rev_curb!$A18)</f>
        <v>1.0880908687410828E-14</v>
      </c>
      <c r="D18">
        <f>2*calc!$C$12/calc!$C$24*EXP(-calc!$C$30/calc!$D$5*rev_curb!$L$2*rev_curb!$A18)</f>
        <v>1.0880908687410828E-14</v>
      </c>
      <c r="E18">
        <f>2*calc!$C$13/calc!$C$25*EXP(-calc!$C$31/calc!$D$6*rev_curb!$L$2*rev_curb!$A18)</f>
        <v>1.0880908687410828E-14</v>
      </c>
      <c r="F18">
        <f>4*calc!$C$14/calc!$C$44*EXP(-calc!$C$50/rev_curb!$B$1*rev_curb!$L$2*rev_curb!$A18)</f>
        <v>3.209920039779929E-14</v>
      </c>
      <c r="G18">
        <f>4*calc!$C$15/calc!$C$45*EXP(-calc!$C$51/rev_curb!$B$2*rev_curb!$L$2*rev_curb!$A18)</f>
        <v>3.209920039779929E-14</v>
      </c>
      <c r="H18">
        <f>4*calc!$C$16/calc!$C$46*EXP(-calc!$C$52/rev_curb!$B$3*rev_curb!$L$2*rev_curb!$A18)</f>
        <v>3.209920039779929E-14</v>
      </c>
      <c r="I18">
        <f>4*W/cs*SUM(B18:H18)</f>
        <v>4.751541676260207E-13</v>
      </c>
      <c r="J18">
        <f t="shared" si="0"/>
        <v>-123.23165457141059</v>
      </c>
      <c r="K18">
        <f>calc!$F$21*(calc!$C$10/calc!$F$10*EXP(-calc!$F$11/lob*cs*rev_curb!$A18)-$B18)</f>
        <v>2.0764837767959515E-08</v>
      </c>
      <c r="L18">
        <f>calc!$F$22*(calc!$C$11/calc!$F$10*EXP(-calc!$F$11/lob*cs*rev_curb!$A18)-1/2*rev_curb!C18)</f>
        <v>4.2469118502114864E-10</v>
      </c>
      <c r="M18">
        <f>calc!$F$23*(calc!$C$12/calc!$F$10*EXP(-calc!$F$11/lob*cs*rev_curb!$A18)-1/2*rev_curb!D18)</f>
        <v>4.2469118502114864E-10</v>
      </c>
      <c r="N18">
        <f>calc!$F$24*(calc!$C$13/calc!$F$10*EXP(-calc!$F$11/lob*cs*rev_curb!$A18)-1/2*rev_curb!E18)</f>
        <v>4.2469118502114864E-10</v>
      </c>
      <c r="O18">
        <f>calc!$F$37*(calc!$C$14/calc!$F$10*EXP(-calc!$F$11/lob*cs*rev_curb!$A18)-rev_curb!F18/4)</f>
        <v>6.69788885882473E-12</v>
      </c>
      <c r="P18">
        <f>calc!$F$38*(calc!$C$15/calc!$F$10*EXP(-calc!$F$11/lob*cs*rev_curb!$A18)-rev_curb!G18/4)</f>
        <v>6.69788885882473E-12</v>
      </c>
      <c r="Q18">
        <f>calc!$F$39*(calc!$C$16/calc!$F$10*EXP(-calc!$F$11/lob*cs*rev_curb!$A18)-rev_curb!H18/4)</f>
        <v>6.69788885882473E-12</v>
      </c>
      <c r="R18">
        <f>4*W/cs*SUM(K18:Q18)</f>
        <v>7.785531172799801E-08</v>
      </c>
      <c r="S18">
        <f t="shared" si="1"/>
        <v>-71.08711752068709</v>
      </c>
      <c r="T18">
        <f t="shared" si="2"/>
        <v>7.785578688216563E-08</v>
      </c>
      <c r="U18">
        <f t="shared" si="3"/>
        <v>-71.08709101559722</v>
      </c>
      <c r="V18">
        <f t="shared" si="4"/>
        <v>0.9999938969961432</v>
      </c>
      <c r="W18">
        <f t="shared" si="5"/>
        <v>6.1030038569279935E-06</v>
      </c>
      <c r="X18">
        <f t="shared" si="6"/>
        <v>1.6561431387339379E-06</v>
      </c>
      <c r="Y18">
        <f t="shared" si="7"/>
        <v>-2.6505089861008714E-05</v>
      </c>
      <c r="Z18">
        <f t="shared" si="8"/>
        <v>-52.14456355581336</v>
      </c>
      <c r="AA18">
        <f t="shared" si="9"/>
        <v>-57.80902130307287</v>
      </c>
    </row>
    <row r="19" spans="1:27" ht="13.5">
      <c r="A19">
        <v>0.6</v>
      </c>
      <c r="B19">
        <f>calc!$C$10/calc!$C$17*EXP(-(calc!$C$18/calc!$D$3*cs*rev_curb!A19))</f>
        <v>5.153165204329431E-16</v>
      </c>
      <c r="C19">
        <f>2*calc!$C$11/calc!$C$23*EXP(-calc!$C$29/calc!$D$4*rev_curb!$L$2*rev_curb!$A19)</f>
        <v>1.3983388899266738E-15</v>
      </c>
      <c r="D19">
        <f>2*calc!$C$12/calc!$C$24*EXP(-calc!$C$30/calc!$D$5*rev_curb!$L$2*rev_curb!$A19)</f>
        <v>1.3983388899266738E-15</v>
      </c>
      <c r="E19">
        <f>2*calc!$C$13/calc!$C$25*EXP(-calc!$C$31/calc!$D$6*rev_curb!$L$2*rev_curb!$A19)</f>
        <v>1.3983388899266738E-15</v>
      </c>
      <c r="F19">
        <f>4*calc!$C$14/calc!$C$44*EXP(-calc!$C$50/rev_curb!$B$1*rev_curb!$L$2*rev_curb!$A19)</f>
        <v>6.302107589944825E-15</v>
      </c>
      <c r="G19">
        <f>4*calc!$C$15/calc!$C$45*EXP(-calc!$C$51/rev_curb!$B$2*rev_curb!$L$2*rev_curb!$A19)</f>
        <v>6.302107589944825E-15</v>
      </c>
      <c r="H19">
        <f>4*calc!$C$16/calc!$C$46*EXP(-calc!$C$52/rev_curb!$B$3*rev_curb!$L$2*rev_curb!$A19)</f>
        <v>6.302107589944825E-15</v>
      </c>
      <c r="I19">
        <f>4*W/cs*SUM(B19:H19)</f>
        <v>8.335290338840273E-14</v>
      </c>
      <c r="J19">
        <f t="shared" si="0"/>
        <v>-130.79079268018324</v>
      </c>
      <c r="K19">
        <f>calc!$F$21*(calc!$C$10/calc!$F$10*EXP(-calc!$F$11/lob*cs*rev_curb!$A19)-$B19)</f>
        <v>6.9224159032759885E-09</v>
      </c>
      <c r="L19">
        <f>calc!$F$22*(calc!$C$11/calc!$F$10*EXP(-calc!$F$11/lob*cs*rev_curb!$A19)-1/2*rev_curb!C19)</f>
        <v>1.4158143123192055E-10</v>
      </c>
      <c r="M19">
        <f>calc!$F$23*(calc!$C$12/calc!$F$10*EXP(-calc!$F$11/lob*cs*rev_curb!$A19)-1/2*rev_curb!D19)</f>
        <v>1.4158143123192055E-10</v>
      </c>
      <c r="N19">
        <f>calc!$F$24*(calc!$C$13/calc!$F$10*EXP(-calc!$F$11/lob*cs*rev_curb!$A19)-1/2*rev_curb!E19)</f>
        <v>1.4158143123192055E-10</v>
      </c>
      <c r="O19">
        <f>calc!$F$37*(calc!$C$14/calc!$F$10*EXP(-calc!$F$11/lob*cs*rev_curb!$A19)-rev_curb!F19/4)</f>
        <v>2.2347227065908256E-12</v>
      </c>
      <c r="P19">
        <f>calc!$F$38*(calc!$C$15/calc!$F$10*EXP(-calc!$F$11/lob*cs*rev_curb!$A19)-rev_curb!G19/4)</f>
        <v>2.2347227065908256E-12</v>
      </c>
      <c r="Q19">
        <f>calc!$F$39*(calc!$C$16/calc!$F$10*EXP(-calc!$F$11/lob*cs*rev_curb!$A19)-rev_curb!H19/4)</f>
        <v>2.2347227065908256E-12</v>
      </c>
      <c r="R19">
        <f>4*W/cs*SUM(K19:Q19)</f>
        <v>2.5954815406205377E-08</v>
      </c>
      <c r="S19">
        <f t="shared" si="1"/>
        <v>-75.85782055529168</v>
      </c>
      <c r="T19">
        <f t="shared" si="2"/>
        <v>2.5954898759108767E-08</v>
      </c>
      <c r="U19">
        <f t="shared" si="3"/>
        <v>-75.85780660811183</v>
      </c>
      <c r="V19">
        <f t="shared" si="4"/>
        <v>0.9999967885483136</v>
      </c>
      <c r="W19">
        <f t="shared" si="5"/>
        <v>3.211451686327629E-06</v>
      </c>
      <c r="X19">
        <f t="shared" si="6"/>
        <v>8.900570044222259E-07</v>
      </c>
      <c r="Y19">
        <f t="shared" si="7"/>
        <v>-1.3947179858200614E-05</v>
      </c>
      <c r="Z19">
        <f t="shared" si="8"/>
        <v>-54.93298607207141</v>
      </c>
      <c r="AA19">
        <f t="shared" si="9"/>
        <v>-60.50582177722258</v>
      </c>
    </row>
    <row r="20" spans="1:27" ht="13.5">
      <c r="A20">
        <v>0.65</v>
      </c>
      <c r="B20">
        <f>calc!$C$10/calc!$C$17*EXP(-(calc!$C$18/calc!$D$3*cs*rev_curb!A20))</f>
        <v>4.669698203256145E-17</v>
      </c>
      <c r="C20">
        <f>2*calc!$C$11/calc!$C$23*EXP(-calc!$C$29/calc!$D$4*rev_curb!$L$2*rev_curb!$A20)</f>
        <v>1.7970481209383646E-16</v>
      </c>
      <c r="D20">
        <f>2*calc!$C$12/calc!$C$24*EXP(-calc!$C$30/calc!$D$5*rev_curb!$L$2*rev_curb!$A20)</f>
        <v>1.7970481209383646E-16</v>
      </c>
      <c r="E20">
        <f>2*calc!$C$13/calc!$C$25*EXP(-calc!$C$31/calc!$D$6*rev_curb!$L$2*rev_curb!$A20)</f>
        <v>1.7970481209383646E-16</v>
      </c>
      <c r="F20">
        <f>4*calc!$C$14/calc!$C$44*EXP(-calc!$C$50/rev_curb!$B$1*rev_curb!$L$2*rev_curb!$A20)</f>
        <v>1.2373068357790885E-15</v>
      </c>
      <c r="G20">
        <f>4*calc!$C$15/calc!$C$45*EXP(-calc!$C$51/rev_curb!$B$2*rev_curb!$L$2*rev_curb!$A20)</f>
        <v>1.2373068357790885E-15</v>
      </c>
      <c r="H20">
        <f>4*calc!$C$16/calc!$C$46*EXP(-calc!$C$52/rev_curb!$B$3*rev_curb!$L$2*rev_curb!$A20)</f>
        <v>1.2373068357790885E-15</v>
      </c>
      <c r="I20">
        <f>4*W/cs*SUM(B20:H20)</f>
        <v>1.5168465619945892E-14</v>
      </c>
      <c r="J20">
        <f t="shared" si="0"/>
        <v>-138.19058348448158</v>
      </c>
      <c r="K20">
        <f>calc!$F$21*(calc!$C$10/calc!$F$10*EXP(-calc!$F$11/lob*cs*rev_curb!$A20)-$B20)</f>
        <v>2.307739435041148E-09</v>
      </c>
      <c r="L20">
        <f>calc!$F$22*(calc!$C$11/calc!$F$10*EXP(-calc!$F$11/lob*cs*rev_curb!$A20)-1/2*rev_curb!C20)</f>
        <v>4.719944550283289E-11</v>
      </c>
      <c r="M20">
        <f>calc!$F$23*(calc!$C$12/calc!$F$10*EXP(-calc!$F$11/lob*cs*rev_curb!$A20)-1/2*rev_curb!D20)</f>
        <v>4.719944550283289E-11</v>
      </c>
      <c r="N20">
        <f>calc!$F$24*(calc!$C$13/calc!$F$10*EXP(-calc!$F$11/lob*cs*rev_curb!$A20)-1/2*rev_curb!E20)</f>
        <v>4.719944550283289E-11</v>
      </c>
      <c r="O20">
        <f>calc!$F$37*(calc!$C$14/calc!$F$10*EXP(-calc!$F$11/lob*cs*rev_curb!$A20)-rev_curb!F20/4)</f>
        <v>7.453540283454209E-13</v>
      </c>
      <c r="P20">
        <f>calc!$F$38*(calc!$C$15/calc!$F$10*EXP(-calc!$F$11/lob*cs*rev_curb!$A20)-rev_curb!G20/4)</f>
        <v>7.453540283454209E-13</v>
      </c>
      <c r="Q20">
        <f>calc!$F$39*(calc!$C$16/calc!$F$10*EXP(-calc!$F$11/lob*cs*rev_curb!$A20)-rev_curb!H20/4)</f>
        <v>7.453540283454209E-13</v>
      </c>
      <c r="R20">
        <f>4*W/cs*SUM(K20:Q20)</f>
        <v>8.652613530475353E-09</v>
      </c>
      <c r="S20">
        <f t="shared" si="1"/>
        <v>-80.62852693641983</v>
      </c>
      <c r="T20">
        <f t="shared" si="2"/>
        <v>8.652628698940973E-09</v>
      </c>
      <c r="U20">
        <f t="shared" si="3"/>
        <v>-80.62851932302634</v>
      </c>
      <c r="V20">
        <f t="shared" si="4"/>
        <v>0.9999982469529033</v>
      </c>
      <c r="W20">
        <f t="shared" si="5"/>
        <v>1.753047096751351E-06</v>
      </c>
      <c r="X20">
        <f t="shared" si="6"/>
        <v>4.912998224619386E-07</v>
      </c>
      <c r="Y20">
        <f t="shared" si="7"/>
        <v>-7.6133934794914405E-06</v>
      </c>
      <c r="Z20">
        <f t="shared" si="8"/>
        <v>-57.56206416145525</v>
      </c>
      <c r="AA20">
        <f t="shared" si="9"/>
        <v>-63.086533928035344</v>
      </c>
    </row>
    <row r="21" spans="1:27" ht="13.5">
      <c r="A21">
        <v>0.7</v>
      </c>
      <c r="B21">
        <f>calc!$C$10/calc!$C$17*EXP(-(calc!$C$18/calc!$D$3*cs*rev_curb!A21))</f>
        <v>4.231589798668457E-18</v>
      </c>
      <c r="C21">
        <f>2*calc!$C$11/calc!$C$23*EXP(-calc!$C$29/calc!$D$4*rev_curb!$L$2*rev_curb!$A21)</f>
        <v>2.3094415611493582E-17</v>
      </c>
      <c r="D21">
        <f>2*calc!$C$12/calc!$C$24*EXP(-calc!$C$30/calc!$D$5*rev_curb!$L$2*rev_curb!$A21)</f>
        <v>2.3094415611493582E-17</v>
      </c>
      <c r="E21">
        <f>2*calc!$C$13/calc!$C$25*EXP(-calc!$C$31/calc!$D$6*rev_curb!$L$2*rev_curb!$A21)</f>
        <v>2.3094415611493582E-17</v>
      </c>
      <c r="F21">
        <f>4*calc!$C$14/calc!$C$44*EXP(-calc!$C$50/rev_curb!$B$1*rev_curb!$L$2*rev_curb!$A21)</f>
        <v>2.4292321005568054E-16</v>
      </c>
      <c r="G21">
        <f>4*calc!$C$15/calc!$C$45*EXP(-calc!$C$51/rev_curb!$B$2*rev_curb!$L$2*rev_curb!$A21)</f>
        <v>2.4292321005568054E-16</v>
      </c>
      <c r="H21">
        <f>4*calc!$C$16/calc!$C$46*EXP(-calc!$C$52/rev_curb!$B$3*rev_curb!$L$2*rev_curb!$A21)</f>
        <v>2.4292321005568054E-16</v>
      </c>
      <c r="I21">
        <f>4*W/cs*SUM(B21:H21)</f>
        <v>2.8315922357653796E-15</v>
      </c>
      <c r="J21">
        <f t="shared" si="0"/>
        <v>-145.47969287178358</v>
      </c>
      <c r="K21">
        <f>calc!$F$21*(calc!$C$10/calc!$F$10*EXP(-calc!$F$11/lob*cs*rev_curb!$A21)-$B21)</f>
        <v>7.693356140749158E-10</v>
      </c>
      <c r="L21">
        <f>calc!$F$22*(calc!$C$11/calc!$F$10*EXP(-calc!$F$11/lob*cs*rev_curb!$A21)-1/2*rev_curb!C21)</f>
        <v>1.5734992826792335E-11</v>
      </c>
      <c r="M21">
        <f>calc!$F$23*(calc!$C$12/calc!$F$10*EXP(-calc!$F$11/lob*cs*rev_curb!$A21)-1/2*rev_curb!D21)</f>
        <v>1.5734992826792335E-11</v>
      </c>
      <c r="N21">
        <f>calc!$F$24*(calc!$C$13/calc!$F$10*EXP(-calc!$F$11/lob*cs*rev_curb!$A21)-1/2*rev_curb!E21)</f>
        <v>1.5734992826792335E-11</v>
      </c>
      <c r="O21">
        <f>calc!$F$37*(calc!$C$14/calc!$F$10*EXP(-calc!$F$11/lob*cs*rev_curb!$A21)-rev_curb!F21/4)</f>
        <v>2.4855083822156833E-13</v>
      </c>
      <c r="P21">
        <f>calc!$F$38*(calc!$C$15/calc!$F$10*EXP(-calc!$F$11/lob*cs*rev_curb!$A21)-rev_curb!G21/4)</f>
        <v>2.4855083822156833E-13</v>
      </c>
      <c r="Q21">
        <f>calc!$F$39*(calc!$C$16/calc!$F$10*EXP(-calc!$F$11/lob*cs*rev_curb!$A21)-rev_curb!H21/4)</f>
        <v>2.4855083822156833E-13</v>
      </c>
      <c r="R21">
        <f>4*W/cs*SUM(K21:Q21)</f>
        <v>2.8845396884822027E-09</v>
      </c>
      <c r="S21">
        <f t="shared" si="1"/>
        <v>-85.39923481191803</v>
      </c>
      <c r="T21">
        <f t="shared" si="2"/>
        <v>2.8845425200744385E-09</v>
      </c>
      <c r="U21">
        <f t="shared" si="3"/>
        <v>-85.39923054869266</v>
      </c>
      <c r="V21">
        <f t="shared" si="4"/>
        <v>0.9999990183565622</v>
      </c>
      <c r="W21">
        <f t="shared" si="5"/>
        <v>9.816434377581328E-07</v>
      </c>
      <c r="X21">
        <f t="shared" si="6"/>
        <v>2.766653191789067E-07</v>
      </c>
      <c r="Y21">
        <f t="shared" si="7"/>
        <v>-4.263225374634619E-06</v>
      </c>
      <c r="Z21">
        <f t="shared" si="8"/>
        <v>-60.08046232309095</v>
      </c>
      <c r="AA21">
        <f t="shared" si="9"/>
        <v>-65.58045277552951</v>
      </c>
    </row>
    <row r="22" spans="1:27" ht="13.5">
      <c r="A22">
        <v>0.75</v>
      </c>
      <c r="B22">
        <f>calc!$C$10/calc!$C$17*EXP(-(calc!$C$18/calc!$D$3*cs*rev_curb!A22))</f>
        <v>3.8345844730841598E-19</v>
      </c>
      <c r="C22">
        <f>2*calc!$C$11/calc!$C$23*EXP(-calc!$C$29/calc!$D$4*rev_curb!$L$2*rev_curb!$A22)</f>
        <v>2.9679340593166545E-18</v>
      </c>
      <c r="D22">
        <f>2*calc!$C$12/calc!$C$24*EXP(-calc!$C$30/calc!$D$5*rev_curb!$L$2*rev_curb!$A22)</f>
        <v>2.9679340593166545E-18</v>
      </c>
      <c r="E22">
        <f>2*calc!$C$13/calc!$C$25*EXP(-calc!$C$31/calc!$D$6*rev_curb!$L$2*rev_curb!$A22)</f>
        <v>2.9679340593166545E-18</v>
      </c>
      <c r="F22">
        <f>4*calc!$C$14/calc!$C$44*EXP(-calc!$C$50/rev_curb!$B$1*rev_curb!$L$2*rev_curb!$A22)</f>
        <v>4.769365550833533E-17</v>
      </c>
      <c r="G22">
        <f>4*calc!$C$15/calc!$C$45*EXP(-calc!$C$51/rev_curb!$B$2*rev_curb!$L$2*rev_curb!$A22)</f>
        <v>4.769365550833533E-17</v>
      </c>
      <c r="H22">
        <f>4*calc!$C$16/calc!$C$46*EXP(-calc!$C$52/rev_curb!$B$3*rev_curb!$L$2*rev_curb!$A22)</f>
        <v>4.769365550833533E-17</v>
      </c>
      <c r="I22">
        <f>4*W/cs*SUM(B22:H22)</f>
        <v>5.377702134715214E-16</v>
      </c>
      <c r="J22">
        <f t="shared" si="0"/>
        <v>-152.69403256562708</v>
      </c>
      <c r="K22">
        <f>calc!$F$21*(calc!$C$10/calc!$F$10*EXP(-calc!$F$11/lob*cs*rev_curb!$A22)-$B22)</f>
        <v>2.564749172919389E-10</v>
      </c>
      <c r="L22">
        <f>calc!$F$22*(calc!$C$11/calc!$F$10*EXP(-calc!$F$11/lob*cs*rev_curb!$A22)-1/2*rev_curb!C22)</f>
        <v>5.245608053117732E-12</v>
      </c>
      <c r="M22">
        <f>calc!$F$23*(calc!$C$12/calc!$F$10*EXP(-calc!$F$11/lob*cs*rev_curb!$A22)-1/2*rev_curb!D22)</f>
        <v>5.245608053117732E-12</v>
      </c>
      <c r="N22">
        <f>calc!$F$24*(calc!$C$13/calc!$F$10*EXP(-calc!$F$11/lob*cs*rev_curb!$A22)-1/2*rev_curb!E22)</f>
        <v>5.245608053117732E-12</v>
      </c>
      <c r="O22">
        <f>calc!$F$37*(calc!$C$14/calc!$F$10*EXP(-calc!$F$11/lob*cs*rev_curb!$A22)-rev_curb!F22/4)</f>
        <v>8.287376104409032E-14</v>
      </c>
      <c r="P22">
        <f>calc!$F$38*(calc!$C$15/calc!$F$10*EXP(-calc!$F$11/lob*cs*rev_curb!$A22)-rev_curb!G22/4)</f>
        <v>8.287376104409032E-14</v>
      </c>
      <c r="Q22">
        <f>calc!$F$39*(calc!$C$16/calc!$F$10*EXP(-calc!$F$11/lob*cs*rev_curb!$A22)-rev_curb!H22/4)</f>
        <v>8.287376104409032E-14</v>
      </c>
      <c r="R22">
        <f>4*W/cs*SUM(K22:Q22)</f>
        <v>9.61624809650909E-10</v>
      </c>
      <c r="S22">
        <f t="shared" si="1"/>
        <v>-90.1699434052073</v>
      </c>
      <c r="T22">
        <f t="shared" si="2"/>
        <v>9.616253474211225E-10</v>
      </c>
      <c r="U22">
        <f t="shared" si="3"/>
        <v>-90.16994097649948</v>
      </c>
      <c r="V22">
        <f t="shared" si="4"/>
        <v>0.9999994407695109</v>
      </c>
      <c r="W22">
        <f t="shared" si="5"/>
        <v>5.592304892063301E-07</v>
      </c>
      <c r="X22">
        <f t="shared" si="6"/>
        <v>1.580498778558066E-07</v>
      </c>
      <c r="Y22">
        <f t="shared" si="7"/>
        <v>-2.428707834554441E-06</v>
      </c>
      <c r="Z22">
        <f t="shared" si="8"/>
        <v>-62.52409158912763</v>
      </c>
      <c r="AA22">
        <f t="shared" si="9"/>
        <v>-68.01205835455971</v>
      </c>
    </row>
    <row r="23" spans="1:27" ht="13.5">
      <c r="A23">
        <v>0.8</v>
      </c>
      <c r="B23">
        <f>calc!$C$10/calc!$C$17*EXP(-(calc!$C$18/calc!$D$3*cs*rev_curb!A23))</f>
        <v>3.474825959228113E-20</v>
      </c>
      <c r="C23">
        <f>2*calc!$C$11/calc!$C$23*EXP(-calc!$C$29/calc!$D$4*rev_curb!$L$2*rev_curb!$A23)</f>
        <v>3.8141829300360993E-19</v>
      </c>
      <c r="D23">
        <f>2*calc!$C$12/calc!$C$24*EXP(-calc!$C$30/calc!$D$5*rev_curb!$L$2*rev_curb!$A23)</f>
        <v>3.8141829300360993E-19</v>
      </c>
      <c r="E23">
        <f>2*calc!$C$13/calc!$C$25*EXP(-calc!$C$31/calc!$D$6*rev_curb!$L$2*rev_curb!$A23)</f>
        <v>3.8141829300360993E-19</v>
      </c>
      <c r="F23">
        <f>4*calc!$C$14/calc!$C$44*EXP(-calc!$C$50/rev_curb!$B$1*rev_curb!$L$2*rev_curb!$A23)</f>
        <v>9.36380173482137E-18</v>
      </c>
      <c r="G23">
        <f>4*calc!$C$15/calc!$C$45*EXP(-calc!$C$51/rev_curb!$B$2*rev_curb!$L$2*rev_curb!$A23)</f>
        <v>9.36380173482137E-18</v>
      </c>
      <c r="H23">
        <f>4*calc!$C$16/calc!$C$46*EXP(-calc!$C$52/rev_curb!$B$3*rev_curb!$L$2*rev_curb!$A23)</f>
        <v>9.36380173482137E-18</v>
      </c>
      <c r="I23">
        <f>4*W/cs*SUM(B23:H23)</f>
        <v>1.0330732356376664E-16</v>
      </c>
      <c r="J23">
        <f t="shared" si="0"/>
        <v>-159.85868889800886</v>
      </c>
      <c r="K23">
        <f>calc!$F$21*(calc!$C$10/calc!$F$10*EXP(-calc!$F$11/lob*cs*rev_curb!$A23)-$B23)</f>
        <v>8.550154419558206E-11</v>
      </c>
      <c r="L23">
        <f>calc!$F$22*(calc!$C$11/calc!$F$10*EXP(-calc!$F$11/lob*cs*rev_curb!$A23)-1/2*rev_curb!C23)</f>
        <v>1.7487389569207638E-12</v>
      </c>
      <c r="M23">
        <f>calc!$F$23*(calc!$C$12/calc!$F$10*EXP(-calc!$F$11/lob*cs*rev_curb!$A23)-1/2*rev_curb!D23)</f>
        <v>1.7487389569207638E-12</v>
      </c>
      <c r="N23">
        <f>calc!$F$24*(calc!$C$13/calc!$F$10*EXP(-calc!$F$11/lob*cs*rev_curb!$A23)-1/2*rev_curb!E23)</f>
        <v>1.7487389569207638E-12</v>
      </c>
      <c r="O23">
        <f>calc!$F$37*(calc!$C$14/calc!$F$10*EXP(-calc!$F$11/lob*cs*rev_curb!$A23)-rev_curb!F23/4)</f>
        <v>2.7630513194398605E-14</v>
      </c>
      <c r="P23">
        <f>calc!$F$38*(calc!$C$15/calc!$F$10*EXP(-calc!$F$11/lob*cs*rev_curb!$A23)-rev_curb!G23/4)</f>
        <v>2.7630513194398605E-14</v>
      </c>
      <c r="Q23">
        <f>calc!$F$39*(calc!$C$16/calc!$F$10*EXP(-calc!$F$11/lob*cs*rev_curb!$A23)-rev_curb!H23/4)</f>
        <v>2.7630513194398605E-14</v>
      </c>
      <c r="R23">
        <f>4*W/cs*SUM(K23:Q23)</f>
        <v>3.2057877390327366E-10</v>
      </c>
      <c r="S23">
        <f t="shared" si="1"/>
        <v>-94.94065236448051</v>
      </c>
      <c r="T23">
        <f t="shared" si="2"/>
        <v>3.205788772105972E-10</v>
      </c>
      <c r="U23">
        <f t="shared" si="3"/>
        <v>-94.94065096495575</v>
      </c>
      <c r="V23">
        <f t="shared" si="4"/>
        <v>0.9999996777475657</v>
      </c>
      <c r="W23">
        <f t="shared" si="5"/>
        <v>3.2225243429217317E-07</v>
      </c>
      <c r="X23">
        <f t="shared" si="6"/>
        <v>9.11964641521569E-08</v>
      </c>
      <c r="Y23">
        <f t="shared" si="7"/>
        <v>-1.3995247654323972E-06</v>
      </c>
      <c r="Z23">
        <f t="shared" si="8"/>
        <v>-64.91803793305311</v>
      </c>
      <c r="AA23">
        <f t="shared" si="9"/>
        <v>-70.40021999708598</v>
      </c>
    </row>
    <row r="24" spans="1:27" ht="13.5">
      <c r="A24">
        <v>0.85</v>
      </c>
      <c r="B24">
        <f>calc!$C$10/calc!$C$17*EXP(-(calc!$C$18/calc!$D$3*cs*rev_curb!A24))</f>
        <v>3.148819782607162E-21</v>
      </c>
      <c r="C24">
        <f>2*calc!$C$11/calc!$C$23*EXP(-calc!$C$29/calc!$D$4*rev_curb!$L$2*rev_curb!$A24)</f>
        <v>4.9017232637333044E-20</v>
      </c>
      <c r="D24">
        <f>2*calc!$C$12/calc!$C$24*EXP(-calc!$C$30/calc!$D$5*rev_curb!$L$2*rev_curb!$A24)</f>
        <v>4.9017232637333044E-20</v>
      </c>
      <c r="E24">
        <f>2*calc!$C$13/calc!$C$25*EXP(-calc!$C$31/calc!$D$6*rev_curb!$L$2*rev_curb!$A24)</f>
        <v>4.9017232637333044E-20</v>
      </c>
      <c r="F24">
        <f>4*calc!$C$14/calc!$C$44*EXP(-calc!$C$50/rev_curb!$B$1*rev_curb!$L$2*rev_curb!$A24)</f>
        <v>1.8384160743082526E-18</v>
      </c>
      <c r="G24">
        <f>4*calc!$C$15/calc!$C$45*EXP(-calc!$C$51/rev_curb!$B$2*rev_curb!$L$2*rev_curb!$A24)</f>
        <v>1.8384160743082526E-18</v>
      </c>
      <c r="H24">
        <f>4*calc!$C$16/calc!$C$46*EXP(-calc!$C$52/rev_curb!$B$3*rev_curb!$L$2*rev_curb!$A24)</f>
        <v>1.8384160743082526E-18</v>
      </c>
      <c r="I24">
        <f>4*W/cs*SUM(B24:H24)</f>
        <v>1.999570143748011E-17</v>
      </c>
      <c r="J24">
        <f t="shared" si="0"/>
        <v>-166.99063356467502</v>
      </c>
      <c r="K24">
        <f>calc!$F$21*(calc!$C$10/calc!$F$10*EXP(-calc!$F$11/lob*cs*rev_curb!$A24)-$B24)</f>
        <v>2.8503816791222937E-11</v>
      </c>
      <c r="L24">
        <f>calc!$F$22*(calc!$C$11/calc!$F$10*EXP(-calc!$F$11/lob*cs*rev_curb!$A24)-1/2*rev_curb!C24)</f>
        <v>5.829805671756321E-13</v>
      </c>
      <c r="M24">
        <f>calc!$F$23*(calc!$C$12/calc!$F$10*EXP(-calc!$F$11/lob*cs*rev_curb!$A24)-1/2*rev_curb!D24)</f>
        <v>5.829805671756321E-13</v>
      </c>
      <c r="N24">
        <f>calc!$F$24*(calc!$C$13/calc!$F$10*EXP(-calc!$F$11/lob*cs*rev_curb!$A24)-1/2*rev_curb!E24)</f>
        <v>5.829805671756321E-13</v>
      </c>
      <c r="O24">
        <f>calc!$F$37*(calc!$C$14/calc!$F$10*EXP(-calc!$F$11/lob*cs*rev_curb!$A24)-rev_curb!F24/4)</f>
        <v>9.211773274887144E-15</v>
      </c>
      <c r="P24">
        <f>calc!$F$38*(calc!$C$15/calc!$F$10*EXP(-calc!$F$11/lob*cs*rev_curb!$A24)-rev_curb!G24/4)</f>
        <v>9.211773274887144E-15</v>
      </c>
      <c r="Q24">
        <f>calc!$F$39*(calc!$C$16/calc!$F$10*EXP(-calc!$F$11/lob*cs*rev_curb!$A24)-rev_curb!H24/4)</f>
        <v>9.211773274887144E-15</v>
      </c>
      <c r="R24">
        <f>4*W/cs*SUM(K24:Q24)</f>
        <v>1.068719781620276E-10</v>
      </c>
      <c r="S24">
        <f t="shared" si="1"/>
        <v>-99.7113615189989</v>
      </c>
      <c r="T24">
        <f t="shared" si="2"/>
        <v>1.0687199815772904E-10</v>
      </c>
      <c r="U24">
        <f t="shared" si="3"/>
        <v>-99.71136070643587</v>
      </c>
      <c r="V24">
        <f t="shared" si="4"/>
        <v>0.9999998129004624</v>
      </c>
      <c r="W24">
        <f t="shared" si="5"/>
        <v>1.870995375979504E-07</v>
      </c>
      <c r="X24">
        <f t="shared" si="6"/>
        <v>5.298207218395922E-08</v>
      </c>
      <c r="Y24">
        <f t="shared" si="7"/>
        <v>-8.125630436552909E-07</v>
      </c>
      <c r="Z24">
        <f t="shared" si="8"/>
        <v>-67.27927285823917</v>
      </c>
      <c r="AA24">
        <f t="shared" si="9"/>
        <v>-72.7587105999764</v>
      </c>
    </row>
    <row r="25" spans="1:27" ht="13.5">
      <c r="A25">
        <v>0.9</v>
      </c>
      <c r="B25">
        <f>calc!$C$10/calc!$C$17*EXP(-(calc!$C$18/calc!$D$3*cs*rev_curb!A25))</f>
        <v>2.853399318318851E-22</v>
      </c>
      <c r="C25">
        <f>2*calc!$C$11/calc!$C$23*EXP(-calc!$C$29/calc!$D$4*rev_curb!$L$2*rev_curb!$A25)</f>
        <v>6.299354644219143E-21</v>
      </c>
      <c r="D25">
        <f>2*calc!$C$12/calc!$C$24*EXP(-calc!$C$30/calc!$D$5*rev_curb!$L$2*rev_curb!$A25)</f>
        <v>6.299354644219143E-21</v>
      </c>
      <c r="E25">
        <f>2*calc!$C$13/calc!$C$25*EXP(-calc!$C$31/calc!$D$6*rev_curb!$L$2*rev_curb!$A25)</f>
        <v>6.299354644219143E-21</v>
      </c>
      <c r="F25">
        <f>4*calc!$C$14/calc!$C$44*EXP(-calc!$C$50/rev_curb!$B$1*rev_curb!$L$2*rev_curb!$A25)</f>
        <v>3.609403272291123E-19</v>
      </c>
      <c r="G25">
        <f>4*calc!$C$15/calc!$C$45*EXP(-calc!$C$51/rev_curb!$B$2*rev_curb!$L$2*rev_curb!$A25)</f>
        <v>3.609403272291123E-19</v>
      </c>
      <c r="H25">
        <f>4*calc!$C$16/calc!$C$46*EXP(-calc!$C$52/rev_curb!$B$3*rev_curb!$L$2*rev_curb!$A25)</f>
        <v>3.609403272291123E-19</v>
      </c>
      <c r="I25">
        <f>4*W/cs*SUM(B25:H25)</f>
        <v>3.889427243124092E-18</v>
      </c>
      <c r="J25">
        <f t="shared" si="0"/>
        <v>-174.10114348151126</v>
      </c>
      <c r="K25">
        <f>calc!$F$21*(calc!$C$10/calc!$F$10*EXP(-calc!$F$11/lob*cs*rev_curb!$A25)-$B25)</f>
        <v>9.502373075672503E-12</v>
      </c>
      <c r="L25">
        <f>calc!$F$22*(calc!$C$11/calc!$F$10*EXP(-calc!$F$11/lob*cs*rev_curb!$A25)-1/2*rev_curb!C25)</f>
        <v>1.9434937616984977E-13</v>
      </c>
      <c r="M25">
        <f>calc!$F$23*(calc!$C$12/calc!$F$10*EXP(-calc!$F$11/lob*cs*rev_curb!$A25)-1/2*rev_curb!D25)</f>
        <v>1.9434937616984977E-13</v>
      </c>
      <c r="N25">
        <f>calc!$F$24*(calc!$C$13/calc!$F$10*EXP(-calc!$F$11/lob*cs*rev_curb!$A25)-1/2*rev_curb!E25)</f>
        <v>1.9434937616984977E-13</v>
      </c>
      <c r="O25">
        <f>calc!$F$37*(calc!$C$14/calc!$F$10*EXP(-calc!$F$11/lob*cs*rev_curb!$A25)-rev_curb!F25/4)</f>
        <v>3.071051910721886E-15</v>
      </c>
      <c r="P25">
        <f>calc!$F$38*(calc!$C$15/calc!$F$10*EXP(-calc!$F$11/lob*cs*rev_curb!$A25)-rev_curb!G25/4)</f>
        <v>3.071051910721886E-15</v>
      </c>
      <c r="Q25">
        <f>calc!$F$39*(calc!$C$16/calc!$F$10*EXP(-calc!$F$11/lob*cs*rev_curb!$A25)-rev_curb!H25/4)</f>
        <v>3.071051910721886E-15</v>
      </c>
      <c r="R25">
        <f>4*W/cs*SUM(K25:Q25)</f>
        <v>3.5628121270285464E-11</v>
      </c>
      <c r="S25">
        <f t="shared" si="1"/>
        <v>-104.48207078110957</v>
      </c>
      <c r="T25">
        <f t="shared" si="2"/>
        <v>3.5628125159712705E-11</v>
      </c>
      <c r="U25">
        <f t="shared" si="3"/>
        <v>-104.48207030700186</v>
      </c>
      <c r="V25">
        <f t="shared" si="4"/>
        <v>0.9999998908326716</v>
      </c>
      <c r="W25">
        <f t="shared" si="5"/>
        <v>1.0916732849928766E-07</v>
      </c>
      <c r="X25">
        <f t="shared" si="6"/>
        <v>3.0922734235417686E-08</v>
      </c>
      <c r="Y25">
        <f t="shared" si="7"/>
        <v>-4.741077091577821E-07</v>
      </c>
      <c r="Z25">
        <f t="shared" si="8"/>
        <v>-69.61907317450938</v>
      </c>
      <c r="AA25">
        <f t="shared" si="9"/>
        <v>-75.0972211207409</v>
      </c>
    </row>
    <row r="26" spans="1:27" ht="13.5">
      <c r="A26">
        <v>0.95</v>
      </c>
      <c r="B26">
        <f>calc!$C$10/calc!$C$17*EXP(-(calc!$C$18/calc!$D$3*cs*rev_curb!A26))</f>
        <v>2.5856950323912197E-23</v>
      </c>
      <c r="C26">
        <f>2*calc!$C$11/calc!$C$23*EXP(-calc!$C$29/calc!$D$4*rev_curb!$L$2*rev_curb!$A26)</f>
        <v>8.095493523113001E-22</v>
      </c>
      <c r="D26">
        <f>2*calc!$C$12/calc!$C$24*EXP(-calc!$C$30/calc!$D$5*rev_curb!$L$2*rev_curb!$A26)</f>
        <v>8.095493523113001E-22</v>
      </c>
      <c r="E26">
        <f>2*calc!$C$13/calc!$C$25*EXP(-calc!$C$31/calc!$D$6*rev_curb!$L$2*rev_curb!$A26)</f>
        <v>8.095493523113001E-22</v>
      </c>
      <c r="F26">
        <f>4*calc!$C$14/calc!$C$44*EXP(-calc!$C$50/rev_curb!$B$1*rev_curb!$L$2*rev_curb!$A26)</f>
        <v>7.086421928141578E-20</v>
      </c>
      <c r="G26">
        <f>4*calc!$C$15/calc!$C$45*EXP(-calc!$C$51/rev_curb!$B$2*rev_curb!$L$2*rev_curb!$A26)</f>
        <v>7.086421928141578E-20</v>
      </c>
      <c r="H26">
        <f>4*calc!$C$16/calc!$C$46*EXP(-calc!$C$52/rev_curb!$B$3*rev_curb!$L$2*rev_curb!$A26)</f>
        <v>7.086421928141578E-20</v>
      </c>
      <c r="I26">
        <f>4*W/cs*SUM(B26:H26)</f>
        <v>7.589899865347241E-19</v>
      </c>
      <c r="J26">
        <f t="shared" si="0"/>
        <v>-181.19763953776985</v>
      </c>
      <c r="K26">
        <f>calc!$F$21*(calc!$C$10/calc!$F$10*EXP(-calc!$F$11/lob*cs*rev_curb!$A26)-$B26)</f>
        <v>3.1678246715289405E-12</v>
      </c>
      <c r="L26">
        <f>calc!$F$22*(calc!$C$11/calc!$F$10*EXP(-calc!$F$11/lob*cs*rev_curb!$A26)-1/2*rev_curb!C26)</f>
        <v>6.479063187376357E-14</v>
      </c>
      <c r="M26">
        <f>calc!$F$23*(calc!$C$12/calc!$F$10*EXP(-calc!$F$11/lob*cs*rev_curb!$A26)-1/2*rev_curb!D26)</f>
        <v>6.479063187376357E-14</v>
      </c>
      <c r="N26">
        <f>calc!$F$24*(calc!$C$13/calc!$F$10*EXP(-calc!$F$11/lob*cs*rev_curb!$A26)-1/2*rev_curb!E26)</f>
        <v>6.479063187376357E-14</v>
      </c>
      <c r="O26">
        <f>calc!$F$37*(calc!$C$14/calc!$F$10*EXP(-calc!$F$11/lob*cs*rev_curb!$A26)-rev_curb!F26/4)</f>
        <v>1.02382320073352E-15</v>
      </c>
      <c r="P26">
        <f>calc!$F$38*(calc!$C$15/calc!$F$10*EXP(-calc!$F$11/lob*cs*rev_curb!$A26)-rev_curb!G26/4)</f>
        <v>1.02382320073352E-15</v>
      </c>
      <c r="Q26">
        <f>calc!$F$39*(calc!$C$16/calc!$F$10*EXP(-calc!$F$11/lob*cs*rev_curb!$A26)-rev_curb!H26/4)</f>
        <v>1.02382320073352E-15</v>
      </c>
      <c r="R26">
        <f>4*W/cs*SUM(K26:Q26)</f>
        <v>1.1877416600302701E-11</v>
      </c>
      <c r="S26">
        <f t="shared" si="1"/>
        <v>-109.2527801038512</v>
      </c>
      <c r="T26">
        <f t="shared" si="2"/>
        <v>1.1877417359292688E-11</v>
      </c>
      <c r="U26">
        <f t="shared" si="3"/>
        <v>-109.2527798263286</v>
      </c>
      <c r="V26">
        <f t="shared" si="4"/>
        <v>0.999999936098062</v>
      </c>
      <c r="W26">
        <f t="shared" si="5"/>
        <v>6.390193790242651E-08</v>
      </c>
      <c r="X26">
        <f t="shared" si="6"/>
        <v>1.8103372088120844E-08</v>
      </c>
      <c r="Y26">
        <f t="shared" si="7"/>
        <v>-2.775225992711886E-07</v>
      </c>
      <c r="Z26">
        <f t="shared" si="8"/>
        <v>-71.94485971144125</v>
      </c>
      <c r="AA26">
        <f t="shared" si="9"/>
        <v>-77.42240522210278</v>
      </c>
    </row>
    <row r="27" spans="1:27" ht="13.5">
      <c r="A27">
        <v>1</v>
      </c>
      <c r="B27">
        <f>calc!$C$10/calc!$C$17*EXP(-(calc!$C$18/calc!$D$3*cs*rev_curb!A27))</f>
        <v>2.3431066088821023E-24</v>
      </c>
      <c r="C27">
        <f>2*calc!$C$11/calc!$C$23*EXP(-calc!$C$29/calc!$D$4*rev_curb!$L$2*rev_curb!$A27)</f>
        <v>1.0403766589472267E-22</v>
      </c>
      <c r="D27">
        <f>2*calc!$C$12/calc!$C$24*EXP(-calc!$C$30/calc!$D$5*rev_curb!$L$2*rev_curb!$A27)</f>
        <v>1.0403766589472267E-22</v>
      </c>
      <c r="E27">
        <f>2*calc!$C$13/calc!$C$25*EXP(-calc!$C$31/calc!$D$6*rev_curb!$L$2*rev_curb!$A27)</f>
        <v>1.0403766589472267E-22</v>
      </c>
      <c r="F27">
        <f>4*calc!$C$14/calc!$C$44*EXP(-calc!$C$50/rev_curb!$B$1*rev_curb!$L$2*rev_curb!$A27)</f>
        <v>1.39129301868697E-20</v>
      </c>
      <c r="G27">
        <f>4*calc!$C$15/calc!$C$45*EXP(-calc!$C$51/rev_curb!$B$2*rev_curb!$L$2*rev_curb!$A27)</f>
        <v>1.39129301868697E-20</v>
      </c>
      <c r="H27">
        <f>4*calc!$C$16/calc!$C$46*EXP(-calc!$C$52/rev_curb!$B$3*rev_curb!$L$2*rev_curb!$A27)</f>
        <v>1.39129301868697E-20</v>
      </c>
      <c r="I27">
        <f>4*W/cs*SUM(B27:H27)</f>
        <v>1.4842322352318408E-19</v>
      </c>
      <c r="J27">
        <f t="shared" si="0"/>
        <v>-188.28498140439265</v>
      </c>
      <c r="K27">
        <f>calc!$F$21*(calc!$C$10/calc!$F$10*EXP(-calc!$F$11/lob*cs*rev_curb!$A27)-$B27)</f>
        <v>1.0560638978782063E-12</v>
      </c>
      <c r="L27">
        <f>calc!$F$22*(calc!$C$11/calc!$F$10*EXP(-calc!$F$11/lob*cs*rev_curb!$A27)-1/2*rev_curb!C27)</f>
        <v>2.159937958810583E-14</v>
      </c>
      <c r="M27">
        <f>calc!$F$23*(calc!$C$12/calc!$F$10*EXP(-calc!$F$11/lob*cs*rev_curb!$A27)-1/2*rev_curb!D27)</f>
        <v>2.159937958810583E-14</v>
      </c>
      <c r="N27">
        <f>calc!$F$24*(calc!$C$13/calc!$F$10*EXP(-calc!$F$11/lob*cs*rev_curb!$A27)-1/2*rev_curb!E27)</f>
        <v>2.159937958810583E-14</v>
      </c>
      <c r="O27">
        <f>calc!$F$37*(calc!$C$14/calc!$F$10*EXP(-calc!$F$11/lob*cs*rev_curb!$A27)-rev_curb!F27/4)</f>
        <v>3.413179898448955E-16</v>
      </c>
      <c r="P27">
        <f>calc!$F$38*(calc!$C$15/calc!$F$10*EXP(-calc!$F$11/lob*cs*rev_curb!$A27)-rev_curb!G27/4)</f>
        <v>3.413179898448955E-16</v>
      </c>
      <c r="Q27">
        <f>calc!$F$39*(calc!$C$16/calc!$F$10*EXP(-calc!$F$11/lob*cs*rev_curb!$A27)-rev_curb!H27/4)</f>
        <v>3.413179898448955E-16</v>
      </c>
      <c r="R27">
        <f>4*W/cs*SUM(K27:Q27)</f>
        <v>3.959597613924912E-12</v>
      </c>
      <c r="S27">
        <f t="shared" si="1"/>
        <v>-114.02348946127825</v>
      </c>
      <c r="T27">
        <f t="shared" si="2"/>
        <v>3.959597762348136E-12</v>
      </c>
      <c r="U27">
        <f t="shared" si="3"/>
        <v>-114.02348929848549</v>
      </c>
      <c r="V27">
        <f t="shared" si="4"/>
        <v>0.9999999625155805</v>
      </c>
      <c r="W27">
        <f t="shared" si="5"/>
        <v>3.7484419486883834E-08</v>
      </c>
      <c r="X27">
        <f t="shared" si="6"/>
        <v>1.0619993767588173E-08</v>
      </c>
      <c r="Y27">
        <f t="shared" si="7"/>
        <v>-1.6279276832752676E-07</v>
      </c>
      <c r="Z27">
        <f t="shared" si="8"/>
        <v>-74.26149210590717</v>
      </c>
      <c r="AA27">
        <f t="shared" si="9"/>
        <v>-79.73875738122993</v>
      </c>
    </row>
  </sheetData>
  <mergeCells count="5">
    <mergeCell ref="Y5:AA5"/>
    <mergeCell ref="B5:J5"/>
    <mergeCell ref="K5:S5"/>
    <mergeCell ref="T5:U5"/>
    <mergeCell ref="V5:X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F34" sqref="F34"/>
    </sheetView>
  </sheetViews>
  <sheetFormatPr defaultColWidth="9.00390625" defaultRowHeight="13.5"/>
  <sheetData>
    <row r="1" spans="1:10" ht="13.5">
      <c r="A1" t="s">
        <v>14</v>
      </c>
      <c r="B1">
        <f>2*PI()*freq</f>
        <v>3141.592653589793</v>
      </c>
      <c r="C1" t="s">
        <v>17</v>
      </c>
      <c r="D1">
        <f>2*(rev_curb!B1*rev_curb!B2+rev_curb!B1*rev_curb!B3+rev_curb!B2*rev_curb!B3)</f>
        <v>600</v>
      </c>
      <c r="E1" t="s">
        <v>3</v>
      </c>
      <c r="F1" s="1">
        <f>0.161*D2/F2</f>
        <v>0.7666666666666667</v>
      </c>
      <c r="G1" t="s">
        <v>43</v>
      </c>
      <c r="H1">
        <f>axp+(1-axp)*sxp</f>
        <v>0.61</v>
      </c>
      <c r="I1" t="s">
        <v>42</v>
      </c>
      <c r="J1">
        <f>axm+(1-axm)*sxm</f>
        <v>0.61</v>
      </c>
    </row>
    <row r="2" spans="3:10" ht="13.5">
      <c r="C2" t="s">
        <v>18</v>
      </c>
      <c r="D2">
        <f>rev_curb!B1*rev_curb!B2*rev_curb!B3</f>
        <v>1000</v>
      </c>
      <c r="E2" t="s">
        <v>4</v>
      </c>
      <c r="F2">
        <f>rev_curb!D1*rev_curb!B2*rev_curb!B3+rev_curb!D2*rev_curb!B1*rev_curb!B3+rev_curb!D3*rev_curb!B1*rev_curb!B2+rev_curb!F1*rev_curb!B2*rev_curb!B3+rev_curb!F2*rev_curb!B1*rev_curb!B3+rev_curb!F3*rev_curb!B1*rev_curb!B2</f>
        <v>210</v>
      </c>
      <c r="G2" t="s">
        <v>44</v>
      </c>
      <c r="H2">
        <f>ayp+(1-ayp)*syp</f>
        <v>0.61</v>
      </c>
      <c r="I2" t="s">
        <v>45</v>
      </c>
      <c r="J2">
        <f>aym+(1-aym)*sym</f>
        <v>0.61</v>
      </c>
    </row>
    <row r="3" spans="3:10" ht="13.5">
      <c r="C3" t="s">
        <v>81</v>
      </c>
      <c r="D3">
        <f>4*V/S</f>
        <v>6.666666666666667</v>
      </c>
      <c r="G3" t="s">
        <v>46</v>
      </c>
      <c r="H3">
        <f>azp+(1-azp)*szp</f>
        <v>0.61</v>
      </c>
      <c r="I3" t="s">
        <v>47</v>
      </c>
      <c r="J3">
        <f>azm+(1-azm)*szm</f>
        <v>0.61</v>
      </c>
    </row>
    <row r="4" spans="3:4" ht="13.5">
      <c r="C4" t="s">
        <v>35</v>
      </c>
      <c r="D4">
        <f>PI()*rev_curb!B1*rev_curb!B2/(2*(rev_curb!B1+rev_curb!B2))</f>
        <v>7.853981633974483</v>
      </c>
    </row>
    <row r="5" spans="3:4" ht="13.5">
      <c r="C5" t="s">
        <v>37</v>
      </c>
      <c r="D5">
        <f>PI()*rev_curb!B2*rev_curb!B3/(2*(rev_curb!B2+rev_curb!B3))</f>
        <v>7.853981633974483</v>
      </c>
    </row>
    <row r="6" spans="3:4" ht="13.5">
      <c r="C6" t="s">
        <v>36</v>
      </c>
      <c r="D6">
        <f>PI()*rev_curb!B1*rev_curb!B3/(2*(rev_curb!B1+rev_curb!B3))</f>
        <v>7.853981633974483</v>
      </c>
    </row>
    <row r="7" spans="3:4" ht="13.5">
      <c r="C7" t="s">
        <v>20</v>
      </c>
      <c r="D7">
        <f>4*(Lx+Ly+Lz)</f>
        <v>120</v>
      </c>
    </row>
    <row r="9" spans="2:5" ht="13.5">
      <c r="B9" t="s">
        <v>6</v>
      </c>
      <c r="E9" t="s">
        <v>82</v>
      </c>
    </row>
    <row r="10" spans="1:6" ht="13.5">
      <c r="A10" s="2">
        <v>2.1</v>
      </c>
      <c r="B10" t="s">
        <v>19</v>
      </c>
      <c r="C10">
        <f>1-PI()*cs*S/(4*omega*V)+PI()*cs^2*L/(8*omega^2*V)</f>
        <v>0.9495519493426426</v>
      </c>
      <c r="D10" s="2">
        <v>3.1</v>
      </c>
      <c r="E10" t="s">
        <v>94</v>
      </c>
      <c r="F10">
        <f>F11*S</f>
        <v>258.4697496554725</v>
      </c>
    </row>
    <row r="11" spans="1:6" ht="13.5">
      <c r="A11" s="2"/>
      <c r="B11" t="s">
        <v>21</v>
      </c>
      <c r="C11">
        <f>PI()*cs*Lx*Ly/(2*omega*V)*(1-cs*(Lx+Ly)/(omega*Lx*Ly))</f>
        <v>0.01663203377157154</v>
      </c>
      <c r="D11" s="2"/>
      <c r="E11" t="s">
        <v>84</v>
      </c>
      <c r="F11">
        <f>-LN(1-F12)</f>
        <v>0.4307829160924542</v>
      </c>
    </row>
    <row r="12" spans="1:6" ht="13.5">
      <c r="A12" s="2"/>
      <c r="B12" t="s">
        <v>22</v>
      </c>
      <c r="C12">
        <f>PI()*cs*Ly*Lz/(2*omega*V)*(1-cs*(Ly+Lz)/(omega*Ly*Lz))</f>
        <v>0.01663203377157154</v>
      </c>
      <c r="D12" s="2"/>
      <c r="E12" t="s">
        <v>83</v>
      </c>
      <c r="F12">
        <f>(Ly*Lz*(axp+axm)+Lz*Lx*(ayp+aym)+Lx*Ly*(azp+azm))/S</f>
        <v>0.35</v>
      </c>
    </row>
    <row r="13" spans="1:6" ht="13.5">
      <c r="A13" s="2"/>
      <c r="B13" t="s">
        <v>23</v>
      </c>
      <c r="C13">
        <f>PI()*cs*Lx*Lz/(2*omega*V)*(1-cs*(Lx+Lz)/(omega*Lx*Lz))</f>
        <v>0.01663203377157154</v>
      </c>
      <c r="D13" s="2"/>
      <c r="E13" t="s">
        <v>85</v>
      </c>
      <c r="F13">
        <f>-LN(1-F14)</f>
        <v>0.5108256237659907</v>
      </c>
    </row>
    <row r="14" spans="1:6" ht="13.5">
      <c r="A14" s="2"/>
      <c r="B14" t="s">
        <v>126</v>
      </c>
      <c r="C14">
        <f>PI()*cs^2*Lx/(2*omega^2*V)</f>
        <v>0.000183983114214231</v>
      </c>
      <c r="D14" s="2"/>
      <c r="E14" t="s">
        <v>86</v>
      </c>
      <c r="F14">
        <f>(Ly*Lz*F18*F15+Lz*Lx*F19*F16+Lx*Ly*F20*F17)/(Ly*Lz*F18+Lz*Lx*F19+Lx*Ly*F20)</f>
        <v>0.4</v>
      </c>
    </row>
    <row r="15" spans="1:6" ht="13.5">
      <c r="A15" s="2"/>
      <c r="B15" t="s">
        <v>127</v>
      </c>
      <c r="C15">
        <f>PI()*cs^2*Ly/(2*omega^2*V)</f>
        <v>0.000183983114214231</v>
      </c>
      <c r="D15" s="2"/>
      <c r="E15" t="s">
        <v>87</v>
      </c>
      <c r="F15">
        <f>1-SQRT((1-sxp)*(1-sxm))</f>
        <v>0.4</v>
      </c>
    </row>
    <row r="16" spans="1:6" ht="13.5">
      <c r="A16" s="2"/>
      <c r="B16" t="s">
        <v>128</v>
      </c>
      <c r="C16">
        <f>PI()*cs^2*Lz/(2*omega^2*V)</f>
        <v>0.000183983114214231</v>
      </c>
      <c r="D16" s="2"/>
      <c r="E16" t="s">
        <v>88</v>
      </c>
      <c r="F16">
        <f>1-SQRT((1-syp)*(1-sym))</f>
        <v>0.4</v>
      </c>
    </row>
    <row r="17" spans="1:6" ht="13.5">
      <c r="A17" s="2"/>
      <c r="B17" t="s">
        <v>68</v>
      </c>
      <c r="C17">
        <f>S*C18</f>
        <v>564.965123915067</v>
      </c>
      <c r="D17" s="2"/>
      <c r="E17" t="s">
        <v>89</v>
      </c>
      <c r="F17">
        <f>1-SQRT((1-szp)*(1-szm))</f>
        <v>0.4</v>
      </c>
    </row>
    <row r="18" spans="1:6" ht="13.5">
      <c r="A18" s="2"/>
      <c r="B18" t="s">
        <v>48</v>
      </c>
      <c r="C18">
        <f>-LN(1-C19)</f>
        <v>0.941608539858445</v>
      </c>
      <c r="D18" s="2"/>
      <c r="E18" t="s">
        <v>90</v>
      </c>
      <c r="F18">
        <f>SQRT((1-axp)*(1-axm))</f>
        <v>0.65</v>
      </c>
    </row>
    <row r="19" spans="1:6" ht="13.5">
      <c r="A19" s="2"/>
      <c r="B19" t="s">
        <v>49</v>
      </c>
      <c r="C19">
        <f>2*(Ly*Lz*C20+Lz*Lx*C21+Lx*Ly*C22)/S</f>
        <v>0.61</v>
      </c>
      <c r="D19" s="2"/>
      <c r="E19" t="s">
        <v>91</v>
      </c>
      <c r="F19">
        <f>SQRT((1-ayp)*(1-aym))</f>
        <v>0.65</v>
      </c>
    </row>
    <row r="20" spans="1:6" ht="13.5">
      <c r="A20" s="2"/>
      <c r="B20" t="s">
        <v>50</v>
      </c>
      <c r="C20">
        <f>1-SQRT((1-bxp)*(1-bxm))</f>
        <v>0.61</v>
      </c>
      <c r="D20" s="2"/>
      <c r="E20" t="s">
        <v>92</v>
      </c>
      <c r="F20">
        <f>SQRT((1-ayp)*(1-aym))</f>
        <v>0.65</v>
      </c>
    </row>
    <row r="21" spans="1:6" ht="13.5">
      <c r="A21" s="2"/>
      <c r="B21" t="s">
        <v>51</v>
      </c>
      <c r="C21">
        <f>1-SQRT((1-byp)*(1-bym))</f>
        <v>0.61</v>
      </c>
      <c r="D21" s="2"/>
      <c r="E21" t="s">
        <v>93</v>
      </c>
      <c r="F21">
        <f>F13/(C18-F11)</f>
        <v>1</v>
      </c>
    </row>
    <row r="22" spans="1:6" ht="13.5">
      <c r="A22" s="2"/>
      <c r="B22" t="s">
        <v>52</v>
      </c>
      <c r="C22">
        <f>1-SQRT((1-bzp)*(1-bzm))</f>
        <v>0.61</v>
      </c>
      <c r="D22" s="2">
        <v>3.2</v>
      </c>
      <c r="E22" t="s">
        <v>95</v>
      </c>
      <c r="F22">
        <f>F25/(C29-(lxy/lob)*$F$11)</f>
        <v>1.1676816443953753</v>
      </c>
    </row>
    <row r="23" spans="1:6" ht="13.5">
      <c r="A23" s="2">
        <v>2.3</v>
      </c>
      <c r="B23" t="s">
        <v>69</v>
      </c>
      <c r="C23">
        <f>4/PI()*C26</f>
        <v>482.7587604787618</v>
      </c>
      <c r="D23" s="2"/>
      <c r="E23" t="s">
        <v>105</v>
      </c>
      <c r="F23">
        <f>F26/(C30-(lyz/lob)*$F$11)</f>
        <v>1.1676816443953753</v>
      </c>
    </row>
    <row r="24" spans="1:6" ht="13.5">
      <c r="A24" s="2"/>
      <c r="B24" t="s">
        <v>70</v>
      </c>
      <c r="C24">
        <f>4/PI()*C27</f>
        <v>482.7587604787618</v>
      </c>
      <c r="D24" s="2"/>
      <c r="E24" t="s">
        <v>106</v>
      </c>
      <c r="F24">
        <f>F27/(C31-(lxz/lob)*$F$11)</f>
        <v>1.1676816443953753</v>
      </c>
    </row>
    <row r="25" spans="1:6" ht="13.5">
      <c r="A25" s="2"/>
      <c r="B25" t="s">
        <v>71</v>
      </c>
      <c r="C25">
        <f>4/PI()*C28</f>
        <v>482.7587604787618</v>
      </c>
      <c r="D25" s="2"/>
      <c r="E25" t="s">
        <v>96</v>
      </c>
      <c r="F25">
        <f>-LN(1-F28)</f>
        <v>0.514235836573129</v>
      </c>
    </row>
    <row r="26" spans="1:6" ht="13.5">
      <c r="A26" s="2"/>
      <c r="B26" t="s">
        <v>72</v>
      </c>
      <c r="C26">
        <f>2*(Lx+Ly)*Lz*C29</f>
        <v>379.15784384404816</v>
      </c>
      <c r="D26" s="2"/>
      <c r="E26" t="s">
        <v>103</v>
      </c>
      <c r="F26">
        <f>-LN(1-F29)</f>
        <v>0.514235836573129</v>
      </c>
    </row>
    <row r="27" spans="1:6" ht="13.5">
      <c r="A27" s="2"/>
      <c r="B27" t="s">
        <v>73</v>
      </c>
      <c r="C27">
        <f>2*(Ly+Lz)*Lx*C30</f>
        <v>379.15784384404816</v>
      </c>
      <c r="D27" s="2"/>
      <c r="E27" t="s">
        <v>104</v>
      </c>
      <c r="F27">
        <f>-LN(1-F30)</f>
        <v>0.514235836573129</v>
      </c>
    </row>
    <row r="28" spans="1:6" ht="13.5">
      <c r="A28" s="2"/>
      <c r="B28" t="s">
        <v>74</v>
      </c>
      <c r="C28">
        <f>2*(Lx+Lz)*Ly*C31</f>
        <v>379.15784384404816</v>
      </c>
      <c r="D28" s="2"/>
      <c r="E28" t="s">
        <v>129</v>
      </c>
      <c r="F28">
        <f>1-(1-F31)*((1-F36)^C40)</f>
        <v>0.40204264278141166</v>
      </c>
    </row>
    <row r="29" spans="1:6" ht="13.5">
      <c r="A29" s="2"/>
      <c r="B29" t="s">
        <v>53</v>
      </c>
      <c r="C29">
        <f>-LN(1-C32)</f>
        <v>0.9478946096101204</v>
      </c>
      <c r="D29" s="2"/>
      <c r="E29" t="s">
        <v>130</v>
      </c>
      <c r="F29">
        <f>1-(1-F32)*((1-F34)^C38)</f>
        <v>0.40204264278141166</v>
      </c>
    </row>
    <row r="30" spans="1:6" ht="13.5">
      <c r="A30" s="2"/>
      <c r="B30" t="s">
        <v>54</v>
      </c>
      <c r="C30">
        <f>-LN(1-C33)</f>
        <v>0.9478946096101204</v>
      </c>
      <c r="D30" s="2"/>
      <c r="E30" t="s">
        <v>131</v>
      </c>
      <c r="F30">
        <f>1-(1-F33)*((1-F35)^C39)</f>
        <v>0.40204264278141166</v>
      </c>
    </row>
    <row r="31" spans="1:6" ht="13.5">
      <c r="A31" s="2"/>
      <c r="B31" t="s">
        <v>55</v>
      </c>
      <c r="C31">
        <f>-LN(1-C34)</f>
        <v>0.9478946096101204</v>
      </c>
      <c r="D31" s="2"/>
      <c r="E31" t="s">
        <v>129</v>
      </c>
      <c r="F31">
        <f>(Ly*F18*F15+Lx*F19*F16)/(Lx*F18+Ly*F19)</f>
        <v>0.4</v>
      </c>
    </row>
    <row r="32" spans="1:6" ht="13.5">
      <c r="A32" s="2"/>
      <c r="B32" t="s">
        <v>132</v>
      </c>
      <c r="C32">
        <f>1-(1-C35)*((1-C43)^C40)</f>
        <v>0.6124438779620718</v>
      </c>
      <c r="D32" s="2"/>
      <c r="E32" t="s">
        <v>130</v>
      </c>
      <c r="F32">
        <f>(Lz*F19*F16+Ly*F20*F17)/(Ly*F19+Lz*F20)</f>
        <v>0.4</v>
      </c>
    </row>
    <row r="33" spans="1:6" ht="13.5">
      <c r="A33" s="2"/>
      <c r="B33" t="s">
        <v>133</v>
      </c>
      <c r="C33">
        <f>1-(1-C36)*((1-C41)^C38)</f>
        <v>0.6124438779620718</v>
      </c>
      <c r="D33" s="2"/>
      <c r="E33" t="s">
        <v>131</v>
      </c>
      <c r="F33">
        <f>(Lz*F18*F15+Lx*F20*F17)/(Lx*F18+Lz*F20)</f>
        <v>0.4</v>
      </c>
    </row>
    <row r="34" spans="1:6" ht="13.5">
      <c r="A34" s="2"/>
      <c r="B34" t="s">
        <v>134</v>
      </c>
      <c r="C34">
        <f>1-(1-C37)*((1-C42)^C39)</f>
        <v>0.6124438779620718</v>
      </c>
      <c r="D34" s="2"/>
      <c r="E34" t="s">
        <v>97</v>
      </c>
      <c r="F34">
        <f>F15</f>
        <v>0.4</v>
      </c>
    </row>
    <row r="35" spans="1:6" ht="13.5">
      <c r="A35" s="2"/>
      <c r="B35" t="s">
        <v>100</v>
      </c>
      <c r="C35">
        <f>(Ly*C20+Lx*C21)/(Lx+Ly)</f>
        <v>0.61</v>
      </c>
      <c r="D35" s="2"/>
      <c r="E35" t="s">
        <v>98</v>
      </c>
      <c r="F35">
        <f>F16</f>
        <v>0.4</v>
      </c>
    </row>
    <row r="36" spans="1:6" ht="13.5">
      <c r="A36" s="2"/>
      <c r="B36" t="s">
        <v>101</v>
      </c>
      <c r="C36">
        <f>(Lz*C21+Ly*C22)/(Ly+Lz)</f>
        <v>0.61</v>
      </c>
      <c r="D36" s="2"/>
      <c r="E36" t="s">
        <v>99</v>
      </c>
      <c r="F36">
        <f>F17</f>
        <v>0.4</v>
      </c>
    </row>
    <row r="37" spans="1:6" ht="13.5">
      <c r="A37" s="2"/>
      <c r="B37" t="s">
        <v>102</v>
      </c>
      <c r="C37">
        <f>(Lz*C20+Lx*C22)/(Lx+Lz)</f>
        <v>0.61</v>
      </c>
      <c r="D37" s="2">
        <v>3.2</v>
      </c>
      <c r="E37" t="s">
        <v>107</v>
      </c>
      <c r="F37">
        <f>F40/(C50-(Lx/lob)*$F$11)</f>
        <v>1.6680809756963628</v>
      </c>
    </row>
    <row r="38" spans="1:6" ht="13.5">
      <c r="A38" s="2"/>
      <c r="B38" t="s">
        <v>32</v>
      </c>
      <c r="C38">
        <f>PI()^2*cs*Ly*Lz/(8*omega*(Ly+Lz)*Lx^2)</f>
        <v>0.0066758843888783115</v>
      </c>
      <c r="D38" s="2"/>
      <c r="E38" t="s">
        <v>108</v>
      </c>
      <c r="F38">
        <f>F41/(C51-(Ly/lob)*$F$11)</f>
        <v>1.6680809756963628</v>
      </c>
    </row>
    <row r="39" spans="1:6" ht="13.5">
      <c r="A39" s="2"/>
      <c r="B39" t="s">
        <v>33</v>
      </c>
      <c r="C39">
        <f>PI()^2*cs*Lx*Lz/(8*omega*(Lx+Lz)*Ly^2)</f>
        <v>0.0066758843888783115</v>
      </c>
      <c r="D39" s="2"/>
      <c r="E39" t="s">
        <v>109</v>
      </c>
      <c r="F39">
        <f>F42/(C52-(Lz/lob)*$F$11)</f>
        <v>1.6680809756963628</v>
      </c>
    </row>
    <row r="40" spans="1:6" ht="13.5">
      <c r="A40" s="2"/>
      <c r="B40" t="s">
        <v>34</v>
      </c>
      <c r="C40">
        <f>PI()^2*cs*Lx*Ly/(8*omega*(Lx+Ly)*Lz^2)</f>
        <v>0.0066758843888783115</v>
      </c>
      <c r="D40" s="2"/>
      <c r="E40" t="s">
        <v>116</v>
      </c>
      <c r="F40">
        <f>-LN(1-F43)</f>
        <v>0.5195096593700126</v>
      </c>
    </row>
    <row r="41" spans="1:6" ht="13.5">
      <c r="A41" s="2"/>
      <c r="B41" t="s">
        <v>56</v>
      </c>
      <c r="C41">
        <f>C20</f>
        <v>0.61</v>
      </c>
      <c r="D41" s="2"/>
      <c r="E41" t="s">
        <v>117</v>
      </c>
      <c r="F41">
        <f>-LN(1-F44)</f>
        <v>0.5195096593700126</v>
      </c>
    </row>
    <row r="42" spans="1:6" ht="13.5">
      <c r="A42" s="2"/>
      <c r="B42" t="s">
        <v>57</v>
      </c>
      <c r="C42">
        <f>C21</f>
        <v>0.61</v>
      </c>
      <c r="D42" s="2"/>
      <c r="E42" t="s">
        <v>118</v>
      </c>
      <c r="F42">
        <f>-LN(1-F45)</f>
        <v>0.5195096593700126</v>
      </c>
    </row>
    <row r="43" spans="1:6" ht="13.5">
      <c r="A43" s="2"/>
      <c r="B43" t="s">
        <v>58</v>
      </c>
      <c r="C43">
        <f>C22</f>
        <v>0.61</v>
      </c>
      <c r="D43" s="2"/>
      <c r="E43" t="s">
        <v>119</v>
      </c>
      <c r="F43">
        <f>1-(1-F46)*((1-F35)^C56)*((1-F36)^C58)</f>
        <v>0.40518786296663334</v>
      </c>
    </row>
    <row r="44" spans="1:6" ht="13.5">
      <c r="A44" s="2">
        <v>2.2</v>
      </c>
      <c r="B44" t="s">
        <v>110</v>
      </c>
      <c r="C44">
        <f>2*C47</f>
        <v>383.04635401441533</v>
      </c>
      <c r="D44" s="2"/>
      <c r="E44" t="s">
        <v>120</v>
      </c>
      <c r="F44">
        <f>1-(1-F47)*((1-F34)^C56)*((1-F36)^C57)</f>
        <v>0.40518786296663334</v>
      </c>
    </row>
    <row r="45" spans="1:6" ht="13.5">
      <c r="A45" s="2"/>
      <c r="B45" t="s">
        <v>111</v>
      </c>
      <c r="C45">
        <f>2*C48</f>
        <v>383.04635401441533</v>
      </c>
      <c r="D45" s="2"/>
      <c r="E45" t="s">
        <v>121</v>
      </c>
      <c r="F45">
        <f>1-(1-F48)*((1-F34)^C58)*((1-F35)^C57)</f>
        <v>0.40518786296663334</v>
      </c>
    </row>
    <row r="46" spans="1:6" ht="13.5">
      <c r="A46" s="2"/>
      <c r="B46" t="s">
        <v>112</v>
      </c>
      <c r="C46">
        <f>2*C49</f>
        <v>383.04635401441533</v>
      </c>
      <c r="D46" s="2"/>
      <c r="E46" t="s">
        <v>122</v>
      </c>
      <c r="F46">
        <f>F15</f>
        <v>0.4</v>
      </c>
    </row>
    <row r="47" spans="1:6" ht="13.5">
      <c r="A47" s="2"/>
      <c r="B47" t="s">
        <v>113</v>
      </c>
      <c r="C47">
        <f>2*Ly*Lz*C50</f>
        <v>191.52317700720766</v>
      </c>
      <c r="D47" s="2"/>
      <c r="E47" t="s">
        <v>123</v>
      </c>
      <c r="F47">
        <f>F16</f>
        <v>0.4</v>
      </c>
    </row>
    <row r="48" spans="1:6" ht="13.5">
      <c r="A48" s="2"/>
      <c r="B48" t="s">
        <v>114</v>
      </c>
      <c r="C48">
        <f>2*Lx*Lz*C51</f>
        <v>191.52317700720766</v>
      </c>
      <c r="D48" s="2"/>
      <c r="E48" t="s">
        <v>124</v>
      </c>
      <c r="F48">
        <f>F17</f>
        <v>0.4</v>
      </c>
    </row>
    <row r="49" spans="1:4" ht="13.5">
      <c r="A49" s="2"/>
      <c r="B49" t="s">
        <v>115</v>
      </c>
      <c r="C49">
        <f>2*Lx*Ly*C52</f>
        <v>191.52317700720766</v>
      </c>
      <c r="D49" s="3"/>
    </row>
    <row r="50" spans="1:4" ht="13.5">
      <c r="A50" s="2"/>
      <c r="B50" t="s">
        <v>59</v>
      </c>
      <c r="C50">
        <f>-LN(1-C53)</f>
        <v>0.9576158850360383</v>
      </c>
      <c r="D50" s="3"/>
    </row>
    <row r="51" spans="1:4" ht="13.5">
      <c r="A51" s="2"/>
      <c r="B51" t="s">
        <v>60</v>
      </c>
      <c r="C51">
        <f>-LN(1-C54)</f>
        <v>0.9576158850360383</v>
      </c>
      <c r="D51" s="3"/>
    </row>
    <row r="52" spans="1:3" ht="13.5">
      <c r="A52" s="2"/>
      <c r="B52" t="s">
        <v>61</v>
      </c>
      <c r="C52">
        <f>-LN(1-C55)</f>
        <v>0.9576158850360383</v>
      </c>
    </row>
    <row r="53" spans="1:3" ht="13.5">
      <c r="A53" s="2"/>
      <c r="B53" t="s">
        <v>62</v>
      </c>
      <c r="C53">
        <f>1-(1-C59)*((1-C42)^C56)*((1-C43)^C58)</f>
        <v>0.616193164318162</v>
      </c>
    </row>
    <row r="54" spans="1:3" ht="13.5">
      <c r="A54" s="2"/>
      <c r="B54" t="s">
        <v>63</v>
      </c>
      <c r="C54">
        <f>1-(1-C60)*((1-C41)^C56)*((1-C43)^C57)</f>
        <v>0.616193164318162</v>
      </c>
    </row>
    <row r="55" spans="1:3" ht="13.5">
      <c r="A55" s="2"/>
      <c r="B55" t="s">
        <v>64</v>
      </c>
      <c r="C55">
        <f>1-(1-C61)*((1-C42)^C57)*((1-C41)^C58)</f>
        <v>0.616193164318162</v>
      </c>
    </row>
    <row r="56" spans="1:3" ht="13.5">
      <c r="A56" s="2"/>
      <c r="B56" t="s">
        <v>39</v>
      </c>
      <c r="C56">
        <f>PI()*cs*Lx/(4*omega*Ly^2)</f>
        <v>0.0085</v>
      </c>
    </row>
    <row r="57" spans="1:3" ht="13.5">
      <c r="A57" s="2"/>
      <c r="B57" t="s">
        <v>40</v>
      </c>
      <c r="C57">
        <f>PI()*cs*Ly/(4*omega*Lz^2)</f>
        <v>0.0085</v>
      </c>
    </row>
    <row r="58" spans="1:3" ht="13.5">
      <c r="A58" s="2"/>
      <c r="B58" t="s">
        <v>41</v>
      </c>
      <c r="C58">
        <f>PI()*cs*Lx/(4*omega*Lz^2)</f>
        <v>0.0085</v>
      </c>
    </row>
    <row r="59" spans="1:3" ht="13.5">
      <c r="A59" s="2"/>
      <c r="B59" t="s">
        <v>65</v>
      </c>
      <c r="C59">
        <f>C20</f>
        <v>0.61</v>
      </c>
    </row>
    <row r="60" spans="1:3" ht="13.5">
      <c r="A60" s="2"/>
      <c r="B60" t="s">
        <v>66</v>
      </c>
      <c r="C60">
        <f>C21</f>
        <v>0.61</v>
      </c>
    </row>
    <row r="61" spans="1:3" ht="13.5">
      <c r="A61" s="2"/>
      <c r="B61" t="s">
        <v>67</v>
      </c>
      <c r="C61">
        <f>C22</f>
        <v>0.61</v>
      </c>
    </row>
  </sheetData>
  <mergeCells count="6">
    <mergeCell ref="D10:D21"/>
    <mergeCell ref="D22:D36"/>
    <mergeCell ref="D37:D48"/>
    <mergeCell ref="A10:A22"/>
    <mergeCell ref="A23:A43"/>
    <mergeCell ref="A44:A6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tachioka</dc:creator>
  <cp:keywords/>
  <dc:description/>
  <cp:lastModifiedBy>tachioka</cp:lastModifiedBy>
  <dcterms:created xsi:type="dcterms:W3CDTF">2012-01-23T04:58:49Z</dcterms:created>
  <dcterms:modified xsi:type="dcterms:W3CDTF">2012-01-24T07:20:30Z</dcterms:modified>
  <cp:category/>
  <cp:version/>
  <cp:contentType/>
  <cp:contentStatus/>
</cp:coreProperties>
</file>